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Isabella/Library/CloudStorage/OneDrive-HeadpowerOy (5.2.2025 14.32)/Desktop - TYÖ/"/>
    </mc:Choice>
  </mc:AlternateContent>
  <xr:revisionPtr revIDLastSave="0" documentId="8_{53C04755-8FF2-F142-8AD8-CBAF96ABCD37}" xr6:coauthVersionLast="47" xr6:coauthVersionMax="47" xr10:uidLastSave="{00000000-0000-0000-0000-000000000000}"/>
  <bookViews>
    <workbookView xWindow="0" yWindow="760" windowWidth="29040" windowHeight="15720" activeTab="2" xr2:uid="{1F3598F0-3103-4BBA-A6FE-1E0ABF81DEBE}"/>
  </bookViews>
  <sheets>
    <sheet name="Info" sheetId="4" r:id="rId1"/>
    <sheet name="Lähtöarvot" sheetId="1" r:id="rId2"/>
    <sheet name="Yhtiökohtaiset arvot" sheetId="5" r:id="rId3"/>
    <sheet name="Määrät" sheetId="2" r:id="rId4"/>
    <sheet name="Tulos" sheetId="3" r:id="rId5"/>
    <sheet name="Arvioinnit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I90" i="1" l="1"/>
  <c r="I88" i="1"/>
  <c r="I83" i="1"/>
  <c r="I82" i="1"/>
  <c r="I81" i="1"/>
  <c r="C62" i="1" l="1"/>
  <c r="E62" i="1"/>
  <c r="E61" i="1"/>
  <c r="A3" i="2" l="1"/>
  <c r="B3" i="2"/>
  <c r="D3" i="2"/>
  <c r="G3" i="2"/>
  <c r="I3" i="2"/>
  <c r="A4" i="2"/>
  <c r="B4" i="2"/>
  <c r="D4" i="2"/>
  <c r="G4" i="2"/>
  <c r="I4" i="2"/>
  <c r="A5" i="2"/>
  <c r="B5" i="2"/>
  <c r="C5" i="2"/>
  <c r="D5" i="2"/>
  <c r="G5" i="2"/>
  <c r="H5" i="2"/>
  <c r="I5" i="2"/>
  <c r="J5" i="2"/>
  <c r="A6" i="2"/>
  <c r="B6" i="2"/>
  <c r="D6" i="2"/>
  <c r="G6" i="2"/>
  <c r="I6" i="2"/>
  <c r="A7" i="2"/>
  <c r="B7" i="2"/>
  <c r="D7" i="2"/>
  <c r="G7" i="2"/>
  <c r="I7" i="2"/>
  <c r="J7" i="2"/>
  <c r="A8" i="2"/>
  <c r="B8" i="2"/>
  <c r="D8" i="2"/>
  <c r="G8" i="2"/>
  <c r="I8" i="2"/>
  <c r="J8" i="2"/>
  <c r="A9" i="2"/>
  <c r="B9" i="2"/>
  <c r="D9" i="2"/>
  <c r="G9" i="2"/>
  <c r="I9" i="2"/>
  <c r="J9" i="2"/>
  <c r="A10" i="2"/>
  <c r="B10" i="2"/>
  <c r="D10" i="2"/>
  <c r="G10" i="2"/>
  <c r="I10" i="2"/>
  <c r="J10" i="2"/>
  <c r="A11" i="2"/>
  <c r="B11" i="2"/>
  <c r="D11" i="2"/>
  <c r="G11" i="2"/>
  <c r="I11" i="2"/>
  <c r="J11" i="2"/>
  <c r="A12" i="2"/>
  <c r="B12" i="2"/>
  <c r="D12" i="2"/>
  <c r="G12" i="2"/>
  <c r="I12" i="2"/>
  <c r="J12" i="2"/>
  <c r="A13" i="2"/>
  <c r="B13" i="2"/>
  <c r="D13" i="2"/>
  <c r="G13" i="2"/>
  <c r="I13" i="2"/>
  <c r="J13" i="2"/>
  <c r="A14" i="2"/>
  <c r="B14" i="2"/>
  <c r="D14" i="2"/>
  <c r="G14" i="2"/>
  <c r="I14" i="2"/>
  <c r="J14" i="2"/>
  <c r="A15" i="2"/>
  <c r="B15" i="2"/>
  <c r="D15" i="2"/>
  <c r="G15" i="2"/>
  <c r="I15" i="2"/>
  <c r="J15" i="2"/>
  <c r="A16" i="2"/>
  <c r="B16" i="2"/>
  <c r="D16" i="2"/>
  <c r="G16" i="2"/>
  <c r="I16" i="2"/>
  <c r="J16" i="2"/>
  <c r="A17" i="2"/>
  <c r="B17" i="2"/>
  <c r="D17" i="2"/>
  <c r="G17" i="2"/>
  <c r="I17" i="2"/>
  <c r="J17" i="2"/>
  <c r="A18" i="2"/>
  <c r="B18" i="2"/>
  <c r="D18" i="2"/>
  <c r="G18" i="2"/>
  <c r="I18" i="2"/>
  <c r="J18" i="2"/>
  <c r="A19" i="2"/>
  <c r="B19" i="2"/>
  <c r="D19" i="2"/>
  <c r="G19" i="2"/>
  <c r="I19" i="2"/>
  <c r="J19" i="2"/>
  <c r="A20" i="2"/>
  <c r="B20" i="2"/>
  <c r="D20" i="2"/>
  <c r="G20" i="2"/>
  <c r="H20" i="2"/>
  <c r="I20" i="2"/>
  <c r="A21" i="2"/>
  <c r="B21" i="2"/>
  <c r="D21" i="2"/>
  <c r="H21" i="2"/>
  <c r="I21" i="2"/>
  <c r="A22" i="2"/>
  <c r="B22" i="2"/>
  <c r="D22" i="2"/>
  <c r="G22" i="2"/>
  <c r="H22" i="2"/>
  <c r="I22" i="2"/>
  <c r="A23" i="2"/>
  <c r="B23" i="2"/>
  <c r="D23" i="2"/>
  <c r="G23" i="2"/>
  <c r="H23" i="2"/>
  <c r="I23" i="2"/>
  <c r="A24" i="2"/>
  <c r="B24" i="2"/>
  <c r="D24" i="2"/>
  <c r="G24" i="2"/>
  <c r="H24" i="2"/>
  <c r="I24" i="2"/>
  <c r="A25" i="2"/>
  <c r="B25" i="2"/>
  <c r="D25" i="2"/>
  <c r="G25" i="2"/>
  <c r="H25" i="2"/>
  <c r="I25" i="2"/>
  <c r="A26" i="2"/>
  <c r="B26" i="2"/>
  <c r="D26" i="2"/>
  <c r="G26" i="2"/>
  <c r="H26" i="2"/>
  <c r="I26" i="2"/>
  <c r="A27" i="2"/>
  <c r="B27" i="2"/>
  <c r="D27" i="2"/>
  <c r="G27" i="2"/>
  <c r="H27" i="2"/>
  <c r="I27" i="2"/>
  <c r="A28" i="2"/>
  <c r="B28" i="2"/>
  <c r="D28" i="2"/>
  <c r="G28" i="2"/>
  <c r="H28" i="2"/>
  <c r="I28" i="2"/>
  <c r="A29" i="2"/>
  <c r="B29" i="2"/>
  <c r="D29" i="2"/>
  <c r="G29" i="2"/>
  <c r="H29" i="2"/>
  <c r="I29" i="2"/>
  <c r="A30" i="2"/>
  <c r="B30" i="2"/>
  <c r="D30" i="2"/>
  <c r="G30" i="2"/>
  <c r="I30" i="2"/>
  <c r="J30" i="2"/>
  <c r="A31" i="2"/>
  <c r="B31" i="2"/>
  <c r="D31" i="2"/>
  <c r="G31" i="2"/>
  <c r="I31" i="2"/>
  <c r="J31" i="2"/>
  <c r="A32" i="2"/>
  <c r="B32" i="2"/>
  <c r="D32" i="2"/>
  <c r="G32" i="2"/>
  <c r="I32" i="2"/>
  <c r="J32" i="2"/>
  <c r="A33" i="2"/>
  <c r="B33" i="2"/>
  <c r="D33" i="2"/>
  <c r="G33" i="2"/>
  <c r="I33" i="2"/>
  <c r="J33" i="2"/>
  <c r="A34" i="2"/>
  <c r="B34" i="2"/>
  <c r="D34" i="2"/>
  <c r="G34" i="2"/>
  <c r="I34" i="2"/>
  <c r="J34" i="2"/>
  <c r="A35" i="2"/>
  <c r="B35" i="2"/>
  <c r="D35" i="2"/>
  <c r="I35" i="2"/>
  <c r="J35" i="2"/>
  <c r="A36" i="2"/>
  <c r="B36" i="2"/>
  <c r="D36" i="2"/>
  <c r="I36" i="2"/>
  <c r="J36" i="2"/>
  <c r="A37" i="2"/>
  <c r="B37" i="2"/>
  <c r="D37" i="2"/>
  <c r="I37" i="2"/>
  <c r="J37" i="2"/>
  <c r="A38" i="2"/>
  <c r="B38" i="2"/>
  <c r="C38" i="2"/>
  <c r="D38" i="2"/>
  <c r="G38" i="2"/>
  <c r="H38" i="2"/>
  <c r="I38" i="2"/>
  <c r="J38" i="2"/>
  <c r="A39" i="2"/>
  <c r="B39" i="2"/>
  <c r="C39" i="2"/>
  <c r="D39" i="2"/>
  <c r="G39" i="2"/>
  <c r="H39" i="2"/>
  <c r="I39" i="2"/>
  <c r="J39" i="2"/>
  <c r="A40" i="2"/>
  <c r="B40" i="2"/>
  <c r="C40" i="2"/>
  <c r="D40" i="2"/>
  <c r="G40" i="2"/>
  <c r="H40" i="2"/>
  <c r="I40" i="2"/>
  <c r="J40" i="2"/>
  <c r="A41" i="2"/>
  <c r="B41" i="2"/>
  <c r="C41" i="2"/>
  <c r="D41" i="2"/>
  <c r="G41" i="2"/>
  <c r="H41" i="2"/>
  <c r="I41" i="2"/>
  <c r="J41" i="2"/>
  <c r="A42" i="2"/>
  <c r="B42" i="2"/>
  <c r="C42" i="2"/>
  <c r="D42" i="2"/>
  <c r="G42" i="2"/>
  <c r="H42" i="2"/>
  <c r="I42" i="2"/>
  <c r="J42" i="2"/>
  <c r="A43" i="2"/>
  <c r="B43" i="2"/>
  <c r="C43" i="2"/>
  <c r="D43" i="2"/>
  <c r="G43" i="2"/>
  <c r="H43" i="2"/>
  <c r="I43" i="2"/>
  <c r="J43" i="2"/>
  <c r="A44" i="2"/>
  <c r="B44" i="2"/>
  <c r="C44" i="2"/>
  <c r="D44" i="2"/>
  <c r="G44" i="2"/>
  <c r="H44" i="2"/>
  <c r="I44" i="2"/>
  <c r="J44" i="2"/>
  <c r="A45" i="2"/>
  <c r="B45" i="2"/>
  <c r="C45" i="2"/>
  <c r="D45" i="2"/>
  <c r="G45" i="2"/>
  <c r="H45" i="2"/>
  <c r="I45" i="2"/>
  <c r="J45" i="2"/>
  <c r="A46" i="2"/>
  <c r="B46" i="2"/>
  <c r="C46" i="2"/>
  <c r="D46" i="2"/>
  <c r="G46" i="2"/>
  <c r="H46" i="2"/>
  <c r="I46" i="2"/>
  <c r="J46" i="2"/>
  <c r="A47" i="2"/>
  <c r="B47" i="2"/>
  <c r="C47" i="2"/>
  <c r="D47" i="2"/>
  <c r="G47" i="2"/>
  <c r="H47" i="2"/>
  <c r="I47" i="2"/>
  <c r="J47" i="2"/>
  <c r="A48" i="2"/>
  <c r="B48" i="2"/>
  <c r="C48" i="2"/>
  <c r="D48" i="2"/>
  <c r="G48" i="2"/>
  <c r="H48" i="2"/>
  <c r="I48" i="2"/>
  <c r="J48" i="2"/>
  <c r="A49" i="2"/>
  <c r="B49" i="2"/>
  <c r="C49" i="2"/>
  <c r="D49" i="2"/>
  <c r="G49" i="2"/>
  <c r="H49" i="2"/>
  <c r="I49" i="2"/>
  <c r="J49" i="2"/>
  <c r="A50" i="2"/>
  <c r="B50" i="2"/>
  <c r="C50" i="2"/>
  <c r="D50" i="2"/>
  <c r="G50" i="2"/>
  <c r="H50" i="2"/>
  <c r="I50" i="2"/>
  <c r="J50" i="2"/>
  <c r="A51" i="2"/>
  <c r="B51" i="2"/>
  <c r="C51" i="2"/>
  <c r="D51" i="2"/>
  <c r="G51" i="2"/>
  <c r="H51" i="2"/>
  <c r="I51" i="2"/>
  <c r="J51" i="2"/>
  <c r="A52" i="2"/>
  <c r="B52" i="2"/>
  <c r="C52" i="2"/>
  <c r="D52" i="2"/>
  <c r="G52" i="2"/>
  <c r="H52" i="2"/>
  <c r="I52" i="2"/>
  <c r="J52" i="2"/>
  <c r="A53" i="2"/>
  <c r="B53" i="2"/>
  <c r="C53" i="2"/>
  <c r="D53" i="2"/>
  <c r="G53" i="2"/>
  <c r="H53" i="2"/>
  <c r="I53" i="2"/>
  <c r="J53" i="2"/>
  <c r="A54" i="2"/>
  <c r="B54" i="2"/>
  <c r="C54" i="2"/>
  <c r="D54" i="2"/>
  <c r="G54" i="2"/>
  <c r="H54" i="2"/>
  <c r="I54" i="2"/>
  <c r="J54" i="2"/>
  <c r="A55" i="2"/>
  <c r="B55" i="2"/>
  <c r="C55" i="2"/>
  <c r="D55" i="2"/>
  <c r="G55" i="2"/>
  <c r="H55" i="2"/>
  <c r="I55" i="2"/>
  <c r="J55" i="2"/>
  <c r="A56" i="2"/>
  <c r="B56" i="2"/>
  <c r="C56" i="2"/>
  <c r="D56" i="2"/>
  <c r="G56" i="2"/>
  <c r="H56" i="2"/>
  <c r="I56" i="2"/>
  <c r="J56" i="2"/>
  <c r="A57" i="2"/>
  <c r="B57" i="2"/>
  <c r="C57" i="2"/>
  <c r="D57" i="2"/>
  <c r="H57" i="2"/>
  <c r="I57" i="2"/>
  <c r="J57" i="2"/>
  <c r="A58" i="2"/>
  <c r="B58" i="2"/>
  <c r="C58" i="2"/>
  <c r="D58" i="2"/>
  <c r="H58" i="2"/>
  <c r="I58" i="2"/>
  <c r="J58" i="2"/>
  <c r="A59" i="2"/>
  <c r="B59" i="2"/>
  <c r="D59" i="2"/>
  <c r="I59" i="2"/>
  <c r="A60" i="2"/>
  <c r="B60" i="2"/>
  <c r="D60" i="2"/>
  <c r="I60" i="2"/>
  <c r="A61" i="2"/>
  <c r="B61" i="2"/>
  <c r="D61" i="2"/>
  <c r="I61" i="2"/>
  <c r="A62" i="2"/>
  <c r="B62" i="2"/>
  <c r="D62" i="2"/>
  <c r="H62" i="2"/>
  <c r="I62" i="2"/>
  <c r="J62" i="2"/>
  <c r="A63" i="2"/>
  <c r="B63" i="2"/>
  <c r="D63" i="2"/>
  <c r="H63" i="2"/>
  <c r="I63" i="2"/>
  <c r="J63" i="2"/>
  <c r="A64" i="2"/>
  <c r="B64" i="2"/>
  <c r="D64" i="2"/>
  <c r="I64" i="2"/>
  <c r="A65" i="2"/>
  <c r="B65" i="2"/>
  <c r="C65" i="2"/>
  <c r="D65" i="2"/>
  <c r="G65" i="2"/>
  <c r="H65" i="2"/>
  <c r="I65" i="2"/>
  <c r="J65" i="2"/>
  <c r="A66" i="2"/>
  <c r="B66" i="2"/>
  <c r="D66" i="2"/>
  <c r="I66" i="2"/>
  <c r="A67" i="2"/>
  <c r="B67" i="2"/>
  <c r="D67" i="2"/>
  <c r="I67" i="2"/>
  <c r="A68" i="2"/>
  <c r="B68" i="2"/>
  <c r="D68" i="2"/>
  <c r="I68" i="2"/>
  <c r="A69" i="2"/>
  <c r="B69" i="2"/>
  <c r="D69" i="2"/>
  <c r="I69" i="2"/>
  <c r="A70" i="2"/>
  <c r="B70" i="2"/>
  <c r="D70" i="2"/>
  <c r="I70" i="2"/>
  <c r="A71" i="2"/>
  <c r="B71" i="2"/>
  <c r="D71" i="2"/>
  <c r="I71" i="2"/>
  <c r="A72" i="2"/>
  <c r="B72" i="2"/>
  <c r="D72" i="2"/>
  <c r="I72" i="2"/>
  <c r="A73" i="2"/>
  <c r="B73" i="2"/>
  <c r="D73" i="2"/>
  <c r="I73" i="2"/>
  <c r="A74" i="2"/>
  <c r="B74" i="2"/>
  <c r="D74" i="2"/>
  <c r="I74" i="2"/>
  <c r="A75" i="2"/>
  <c r="B75" i="2"/>
  <c r="D75" i="2"/>
  <c r="I75" i="2"/>
  <c r="A76" i="2"/>
  <c r="B76" i="2"/>
  <c r="D76" i="2"/>
  <c r="I76" i="2"/>
  <c r="A77" i="2"/>
  <c r="B77" i="2"/>
  <c r="D77" i="2"/>
  <c r="I77" i="2"/>
  <c r="A78" i="2"/>
  <c r="B78" i="2"/>
  <c r="D78" i="2"/>
  <c r="I78" i="2"/>
  <c r="J78" i="2"/>
  <c r="A79" i="2"/>
  <c r="B79" i="2"/>
  <c r="D79" i="2"/>
  <c r="I79" i="2"/>
  <c r="J79" i="2"/>
  <c r="A80" i="2"/>
  <c r="B80" i="2"/>
  <c r="C80" i="2"/>
  <c r="D80" i="2"/>
  <c r="G80" i="2"/>
  <c r="H80" i="2"/>
  <c r="I80" i="2"/>
  <c r="J80" i="2"/>
  <c r="A81" i="2"/>
  <c r="B81" i="2"/>
  <c r="D81" i="2"/>
  <c r="I81" i="2"/>
  <c r="A82" i="2"/>
  <c r="B82" i="2"/>
  <c r="D82" i="2"/>
  <c r="I82" i="2"/>
  <c r="A83" i="2"/>
  <c r="B83" i="2"/>
  <c r="D83" i="2"/>
  <c r="I83" i="2"/>
  <c r="A84" i="2"/>
  <c r="B84" i="2"/>
  <c r="C84" i="2"/>
  <c r="D84" i="2"/>
  <c r="G84" i="2"/>
  <c r="H84" i="2"/>
  <c r="I84" i="2"/>
  <c r="J84" i="2"/>
  <c r="A85" i="2"/>
  <c r="B85" i="2"/>
  <c r="C85" i="2"/>
  <c r="D85" i="2"/>
  <c r="G85" i="2"/>
  <c r="H85" i="2"/>
  <c r="I85" i="2"/>
  <c r="J85" i="2"/>
  <c r="A86" i="2"/>
  <c r="B86" i="2"/>
  <c r="C86" i="2"/>
  <c r="D86" i="2"/>
  <c r="G86" i="2"/>
  <c r="H86" i="2"/>
  <c r="I86" i="2"/>
  <c r="J86" i="2"/>
  <c r="A87" i="2"/>
  <c r="B87" i="2"/>
  <c r="C87" i="2"/>
  <c r="D87" i="2"/>
  <c r="G87" i="2"/>
  <c r="H87" i="2"/>
  <c r="I87" i="2"/>
  <c r="J87" i="2"/>
  <c r="A88" i="2"/>
  <c r="B88" i="2"/>
  <c r="D88" i="2"/>
  <c r="I88" i="2"/>
  <c r="A89" i="2"/>
  <c r="B89" i="2"/>
  <c r="C89" i="2"/>
  <c r="D89" i="2"/>
  <c r="G89" i="2"/>
  <c r="H89" i="2"/>
  <c r="I89" i="2"/>
  <c r="J89" i="2"/>
  <c r="A90" i="2"/>
  <c r="B90" i="2"/>
  <c r="D90" i="2"/>
  <c r="I90" i="2"/>
  <c r="A91" i="2"/>
  <c r="B91" i="2"/>
  <c r="D91" i="2"/>
  <c r="I91" i="2"/>
  <c r="A92" i="2"/>
  <c r="B92" i="2"/>
  <c r="D92" i="2"/>
  <c r="I92" i="2"/>
  <c r="A93" i="2"/>
  <c r="B93" i="2"/>
  <c r="D93" i="2"/>
  <c r="G93" i="2"/>
  <c r="H93" i="2"/>
  <c r="I93" i="2"/>
  <c r="J93" i="2"/>
  <c r="A94" i="2"/>
  <c r="B94" i="2"/>
  <c r="D94" i="2"/>
  <c r="I94" i="2"/>
  <c r="A95" i="2"/>
  <c r="B95" i="2"/>
  <c r="D95" i="2"/>
  <c r="H95" i="2"/>
  <c r="I95" i="2"/>
  <c r="J95" i="2"/>
  <c r="A96" i="2"/>
  <c r="B96" i="2"/>
  <c r="D96" i="2"/>
  <c r="I96" i="2"/>
  <c r="J96" i="2"/>
  <c r="A97" i="2"/>
  <c r="B97" i="2"/>
  <c r="D97" i="2"/>
  <c r="I97" i="2"/>
  <c r="J97" i="2"/>
  <c r="A98" i="2"/>
  <c r="B98" i="2"/>
  <c r="D98" i="2"/>
  <c r="G98" i="2"/>
  <c r="I98" i="2"/>
  <c r="J98" i="2"/>
  <c r="A99" i="2"/>
  <c r="B99" i="2"/>
  <c r="D99" i="2"/>
  <c r="G99" i="2"/>
  <c r="I99" i="2"/>
  <c r="J99" i="2"/>
  <c r="A100" i="2"/>
  <c r="B100" i="2"/>
  <c r="C100" i="2"/>
  <c r="D100" i="2"/>
  <c r="G100" i="2"/>
  <c r="H100" i="2"/>
  <c r="I100" i="2"/>
  <c r="J100" i="2"/>
  <c r="A101" i="2"/>
  <c r="B101" i="2"/>
  <c r="D101" i="2"/>
  <c r="G101" i="2"/>
  <c r="I101" i="2"/>
  <c r="J101" i="2"/>
  <c r="A102" i="2"/>
  <c r="B102" i="2"/>
  <c r="D102" i="2"/>
  <c r="G102" i="2"/>
  <c r="I102" i="2"/>
  <c r="J102" i="2"/>
  <c r="A103" i="2"/>
  <c r="B103" i="2"/>
  <c r="C103" i="2"/>
  <c r="D103" i="2"/>
  <c r="G103" i="2"/>
  <c r="H103" i="2"/>
  <c r="I103" i="2"/>
  <c r="J103" i="2"/>
  <c r="A104" i="2"/>
  <c r="B104" i="2"/>
  <c r="C104" i="2"/>
  <c r="D104" i="2"/>
  <c r="G104" i="2"/>
  <c r="H104" i="2"/>
  <c r="I104" i="2"/>
  <c r="J104" i="2"/>
  <c r="A105" i="2"/>
  <c r="B105" i="2"/>
  <c r="C105" i="2"/>
  <c r="D105" i="2"/>
  <c r="G105" i="2"/>
  <c r="H105" i="2"/>
  <c r="I105" i="2"/>
  <c r="J105" i="2"/>
  <c r="A106" i="2"/>
  <c r="B106" i="2"/>
  <c r="C106" i="2"/>
  <c r="D106" i="2"/>
  <c r="G106" i="2"/>
  <c r="H106" i="2"/>
  <c r="I106" i="2"/>
  <c r="J106" i="2"/>
  <c r="A107" i="2"/>
  <c r="B107" i="2"/>
  <c r="C107" i="2"/>
  <c r="D107" i="2"/>
  <c r="G107" i="2"/>
  <c r="H107" i="2"/>
  <c r="I107" i="2"/>
  <c r="J107" i="2"/>
  <c r="A108" i="2"/>
  <c r="B108" i="2"/>
  <c r="C108" i="2"/>
  <c r="D108" i="2"/>
  <c r="G108" i="2"/>
  <c r="H108" i="2"/>
  <c r="I108" i="2"/>
  <c r="J108" i="2"/>
  <c r="A109" i="2"/>
  <c r="B109" i="2"/>
  <c r="C109" i="2"/>
  <c r="D109" i="2"/>
  <c r="G109" i="2"/>
  <c r="H109" i="2"/>
  <c r="I109" i="2"/>
  <c r="J109" i="2"/>
  <c r="A110" i="2"/>
  <c r="B110" i="2"/>
  <c r="C110" i="2"/>
  <c r="D110" i="2"/>
  <c r="G110" i="2"/>
  <c r="H110" i="2"/>
  <c r="I110" i="2"/>
  <c r="J110" i="2"/>
  <c r="A111" i="2"/>
  <c r="B111" i="2"/>
  <c r="C111" i="2"/>
  <c r="D111" i="2"/>
  <c r="G111" i="2"/>
  <c r="H111" i="2"/>
  <c r="I111" i="2"/>
  <c r="J111" i="2"/>
  <c r="A112" i="2"/>
  <c r="B112" i="2"/>
  <c r="C112" i="2"/>
  <c r="D112" i="2"/>
  <c r="G112" i="2"/>
  <c r="H112" i="2"/>
  <c r="I112" i="2"/>
  <c r="J112" i="2"/>
  <c r="A113" i="2"/>
  <c r="B113" i="2"/>
  <c r="C113" i="2"/>
  <c r="D113" i="2"/>
  <c r="G113" i="2"/>
  <c r="H113" i="2"/>
  <c r="I113" i="2"/>
  <c r="J113" i="2"/>
  <c r="A114" i="2"/>
  <c r="B114" i="2"/>
  <c r="C114" i="2"/>
  <c r="D114" i="2"/>
  <c r="G114" i="2"/>
  <c r="H114" i="2"/>
  <c r="I114" i="2"/>
  <c r="J114" i="2"/>
  <c r="A115" i="2"/>
  <c r="B115" i="2"/>
  <c r="C115" i="2"/>
  <c r="D115" i="2"/>
  <c r="G115" i="2"/>
  <c r="H115" i="2"/>
  <c r="I115" i="2"/>
  <c r="J115" i="2"/>
  <c r="A116" i="2"/>
  <c r="B116" i="2"/>
  <c r="C116" i="2"/>
  <c r="D116" i="2"/>
  <c r="G116" i="2"/>
  <c r="H116" i="2"/>
  <c r="I116" i="2"/>
  <c r="J116" i="2"/>
  <c r="A117" i="2"/>
  <c r="B117" i="2"/>
  <c r="C117" i="2"/>
  <c r="D117" i="2"/>
  <c r="G117" i="2"/>
  <c r="H117" i="2"/>
  <c r="I117" i="2"/>
  <c r="J117" i="2"/>
  <c r="A118" i="2"/>
  <c r="B118" i="2"/>
  <c r="C118" i="2"/>
  <c r="D118" i="2"/>
  <c r="G118" i="2"/>
  <c r="H118" i="2"/>
  <c r="I118" i="2"/>
  <c r="J118" i="2"/>
  <c r="A119" i="2"/>
  <c r="B119" i="2"/>
  <c r="D119" i="2"/>
  <c r="G119" i="2"/>
  <c r="H119" i="2"/>
  <c r="I119" i="2"/>
  <c r="A120" i="2"/>
  <c r="B120" i="2"/>
  <c r="D120" i="2"/>
  <c r="G120" i="2"/>
  <c r="H120" i="2"/>
  <c r="I120" i="2"/>
  <c r="A121" i="2"/>
  <c r="B121" i="2"/>
  <c r="C121" i="2"/>
  <c r="D121" i="2"/>
  <c r="G121" i="2"/>
  <c r="H121" i="2"/>
  <c r="I121" i="2"/>
  <c r="J121" i="2"/>
  <c r="A122" i="2"/>
  <c r="B122" i="2"/>
  <c r="D122" i="2"/>
  <c r="G122" i="2"/>
  <c r="H122" i="2"/>
  <c r="I122" i="2"/>
  <c r="A123" i="2"/>
  <c r="B123" i="2"/>
  <c r="D123" i="2"/>
  <c r="G123" i="2"/>
  <c r="H123" i="2"/>
  <c r="I123" i="2"/>
  <c r="A124" i="2"/>
  <c r="B124" i="2"/>
  <c r="D124" i="2"/>
  <c r="G124" i="2"/>
  <c r="H124" i="2"/>
  <c r="I124" i="2"/>
  <c r="A125" i="2"/>
  <c r="B125" i="2"/>
  <c r="C125" i="2"/>
  <c r="D125" i="2"/>
  <c r="G125" i="2"/>
  <c r="H125" i="2"/>
  <c r="I125" i="2"/>
  <c r="J125" i="2"/>
  <c r="A126" i="2"/>
  <c r="B126" i="2"/>
  <c r="C126" i="2"/>
  <c r="D126" i="2"/>
  <c r="G126" i="2"/>
  <c r="H126" i="2"/>
  <c r="I126" i="2"/>
  <c r="J126" i="2"/>
  <c r="A127" i="2"/>
  <c r="B127" i="2"/>
  <c r="C127" i="2"/>
  <c r="D127" i="2"/>
  <c r="G127" i="2"/>
  <c r="H127" i="2"/>
  <c r="I127" i="2"/>
  <c r="J127" i="2"/>
  <c r="A128" i="2"/>
  <c r="B128" i="2"/>
  <c r="C128" i="2"/>
  <c r="D128" i="2"/>
  <c r="G128" i="2"/>
  <c r="H128" i="2"/>
  <c r="I128" i="2"/>
  <c r="J128" i="2"/>
  <c r="A129" i="2"/>
  <c r="B129" i="2"/>
  <c r="C129" i="2"/>
  <c r="D129" i="2"/>
  <c r="G129" i="2"/>
  <c r="H129" i="2"/>
  <c r="I129" i="2"/>
  <c r="J129" i="2"/>
  <c r="A130" i="2"/>
  <c r="B130" i="2"/>
  <c r="D130" i="2"/>
  <c r="G130" i="2"/>
  <c r="H130" i="2"/>
  <c r="I130" i="2"/>
  <c r="A131" i="2"/>
  <c r="B131" i="2"/>
  <c r="D131" i="2"/>
  <c r="G131" i="2"/>
  <c r="H131" i="2"/>
  <c r="I131" i="2"/>
  <c r="A132" i="2"/>
  <c r="B132" i="2"/>
  <c r="D132" i="2"/>
  <c r="G132" i="2"/>
  <c r="H132" i="2"/>
  <c r="I132" i="2"/>
  <c r="A133" i="2"/>
  <c r="B133" i="2"/>
  <c r="D133" i="2"/>
  <c r="G133" i="2"/>
  <c r="H133" i="2"/>
  <c r="I133" i="2"/>
  <c r="A134" i="2"/>
  <c r="B134" i="2"/>
  <c r="D134" i="2"/>
  <c r="G134" i="2"/>
  <c r="H134" i="2"/>
  <c r="I134" i="2"/>
  <c r="A135" i="2"/>
  <c r="B135" i="2"/>
  <c r="D135" i="2"/>
  <c r="G135" i="2"/>
  <c r="H135" i="2"/>
  <c r="I135" i="2"/>
  <c r="A136" i="2"/>
  <c r="B136" i="2"/>
  <c r="D136" i="2"/>
  <c r="G136" i="2"/>
  <c r="H136" i="2"/>
  <c r="I136" i="2"/>
  <c r="A137" i="2"/>
  <c r="B137" i="2"/>
  <c r="C137" i="2"/>
  <c r="D137" i="2"/>
  <c r="G137" i="2"/>
  <c r="H137" i="2"/>
  <c r="I137" i="2"/>
  <c r="J137" i="2"/>
  <c r="A138" i="2"/>
  <c r="B138" i="2"/>
  <c r="C138" i="2"/>
  <c r="D138" i="2"/>
  <c r="G138" i="2"/>
  <c r="H138" i="2"/>
  <c r="I138" i="2"/>
  <c r="J138" i="2"/>
  <c r="A139" i="2"/>
  <c r="B139" i="2"/>
  <c r="C139" i="2"/>
  <c r="D139" i="2"/>
  <c r="G139" i="2"/>
  <c r="H139" i="2"/>
  <c r="I139" i="2"/>
  <c r="J139" i="2"/>
  <c r="A140" i="2"/>
  <c r="B140" i="2"/>
  <c r="C140" i="2"/>
  <c r="D140" i="2"/>
  <c r="G140" i="2"/>
  <c r="H140" i="2"/>
  <c r="I140" i="2"/>
  <c r="J140" i="2"/>
  <c r="A141" i="2"/>
  <c r="B141" i="2"/>
  <c r="D141" i="2"/>
  <c r="G141" i="2"/>
  <c r="I141" i="2"/>
  <c r="A142" i="2"/>
  <c r="B142" i="2"/>
  <c r="D142" i="2"/>
  <c r="G142" i="2"/>
  <c r="I142" i="2"/>
  <c r="A143" i="2"/>
  <c r="B143" i="2"/>
  <c r="D143" i="2"/>
  <c r="G143" i="2"/>
  <c r="I143" i="2"/>
  <c r="A144" i="2"/>
  <c r="B144" i="2"/>
  <c r="D144" i="2"/>
  <c r="G144" i="2"/>
  <c r="I144" i="2"/>
  <c r="A145" i="2"/>
  <c r="B145" i="2"/>
  <c r="D145" i="2"/>
  <c r="G145" i="2"/>
  <c r="I145" i="2"/>
  <c r="A146" i="2"/>
  <c r="B146" i="2"/>
  <c r="C146" i="2"/>
  <c r="D146" i="2"/>
  <c r="G146" i="2"/>
  <c r="H146" i="2"/>
  <c r="I146" i="2"/>
  <c r="J146" i="2"/>
  <c r="A147" i="2"/>
  <c r="B147" i="2"/>
  <c r="C147" i="2"/>
  <c r="D147" i="2"/>
  <c r="G147" i="2"/>
  <c r="H147" i="2"/>
  <c r="I147" i="2"/>
  <c r="J147" i="2"/>
  <c r="A148" i="2"/>
  <c r="B148" i="2"/>
  <c r="C148" i="2"/>
  <c r="D148" i="2"/>
  <c r="G148" i="2"/>
  <c r="H148" i="2"/>
  <c r="I148" i="2"/>
  <c r="J148" i="2"/>
  <c r="A149" i="2"/>
  <c r="B149" i="2"/>
  <c r="C149" i="2"/>
  <c r="D149" i="2"/>
  <c r="G149" i="2"/>
  <c r="H149" i="2"/>
  <c r="I149" i="2"/>
  <c r="J149" i="2"/>
  <c r="A150" i="2"/>
  <c r="B150" i="2"/>
  <c r="D150" i="2"/>
  <c r="G150" i="2"/>
  <c r="H150" i="2"/>
  <c r="I150" i="2"/>
  <c r="A151" i="2"/>
  <c r="B151" i="2"/>
  <c r="D151" i="2"/>
  <c r="G151" i="2"/>
  <c r="H151" i="2"/>
  <c r="I151" i="2"/>
  <c r="A152" i="2"/>
  <c r="B152" i="2"/>
  <c r="D152" i="2"/>
  <c r="G152" i="2"/>
  <c r="H152" i="2"/>
  <c r="I152" i="2"/>
  <c r="A153" i="2"/>
  <c r="B153" i="2"/>
  <c r="D153" i="2"/>
  <c r="G153" i="2"/>
  <c r="H153" i="2"/>
  <c r="I153" i="2"/>
  <c r="A154" i="2"/>
  <c r="B154" i="2"/>
  <c r="D154" i="2"/>
  <c r="G154" i="2"/>
  <c r="H154" i="2"/>
  <c r="I154" i="2"/>
  <c r="A155" i="2"/>
  <c r="B155" i="2"/>
  <c r="D155" i="2"/>
  <c r="G155" i="2"/>
  <c r="H155" i="2"/>
  <c r="I155" i="2"/>
  <c r="A156" i="2"/>
  <c r="B156" i="2"/>
  <c r="D156" i="2"/>
  <c r="G156" i="2"/>
  <c r="H156" i="2"/>
  <c r="I156" i="2"/>
  <c r="A157" i="2"/>
  <c r="B157" i="2"/>
  <c r="C157" i="2"/>
  <c r="D157" i="2"/>
  <c r="G157" i="2"/>
  <c r="H157" i="2"/>
  <c r="I157" i="2"/>
  <c r="J157" i="2"/>
  <c r="A158" i="2"/>
  <c r="B158" i="2"/>
  <c r="C158" i="2"/>
  <c r="D158" i="2"/>
  <c r="G158" i="2"/>
  <c r="H158" i="2"/>
  <c r="I158" i="2"/>
  <c r="J158" i="2"/>
  <c r="A159" i="2"/>
  <c r="B159" i="2"/>
  <c r="C159" i="2"/>
  <c r="D159" i="2"/>
  <c r="G159" i="2"/>
  <c r="H159" i="2"/>
  <c r="I159" i="2"/>
  <c r="J159" i="2"/>
  <c r="A160" i="2"/>
  <c r="B160" i="2"/>
  <c r="C160" i="2"/>
  <c r="D160" i="2"/>
  <c r="G160" i="2"/>
  <c r="H160" i="2"/>
  <c r="I160" i="2"/>
  <c r="J160" i="2"/>
  <c r="A161" i="2"/>
  <c r="B161" i="2"/>
  <c r="C161" i="2"/>
  <c r="D161" i="2"/>
  <c r="G161" i="2"/>
  <c r="H161" i="2"/>
  <c r="I161" i="2"/>
  <c r="J161" i="2"/>
  <c r="A162" i="2"/>
  <c r="B162" i="2"/>
  <c r="C162" i="2"/>
  <c r="D162" i="2"/>
  <c r="G162" i="2"/>
  <c r="H162" i="2"/>
  <c r="I162" i="2"/>
  <c r="J162" i="2"/>
  <c r="A163" i="2"/>
  <c r="B163" i="2"/>
  <c r="C163" i="2"/>
  <c r="D163" i="2"/>
  <c r="G163" i="2"/>
  <c r="H163" i="2"/>
  <c r="I163" i="2"/>
  <c r="J163" i="2"/>
  <c r="A164" i="2"/>
  <c r="B164" i="2"/>
  <c r="C164" i="2"/>
  <c r="D164" i="2"/>
  <c r="G164" i="2"/>
  <c r="H164" i="2"/>
  <c r="I164" i="2"/>
  <c r="J164" i="2"/>
  <c r="A165" i="2"/>
  <c r="B165" i="2"/>
  <c r="C165" i="2"/>
  <c r="D165" i="2"/>
  <c r="G165" i="2"/>
  <c r="H165" i="2"/>
  <c r="I165" i="2"/>
  <c r="J165" i="2"/>
  <c r="A166" i="2"/>
  <c r="B166" i="2"/>
  <c r="D166" i="2"/>
  <c r="G166" i="2"/>
  <c r="H166" i="2"/>
  <c r="J166" i="2"/>
  <c r="A167" i="2"/>
  <c r="B167" i="2"/>
  <c r="D167" i="2"/>
  <c r="G167" i="2"/>
  <c r="H167" i="2"/>
  <c r="J167" i="2"/>
  <c r="A168" i="2"/>
  <c r="B168" i="2"/>
  <c r="D168" i="2"/>
  <c r="G168" i="2"/>
  <c r="H168" i="2"/>
  <c r="J168" i="2"/>
  <c r="A169" i="2"/>
  <c r="B169" i="2"/>
  <c r="D169" i="2"/>
  <c r="G169" i="2"/>
  <c r="H169" i="2"/>
  <c r="J169" i="2"/>
  <c r="A170" i="2"/>
  <c r="B170" i="2"/>
  <c r="D170" i="2"/>
  <c r="G170" i="2"/>
  <c r="H170" i="2"/>
  <c r="J170" i="2"/>
  <c r="A171" i="2"/>
  <c r="B171" i="2"/>
  <c r="C171" i="2"/>
  <c r="D171" i="2"/>
  <c r="G171" i="2"/>
  <c r="H171" i="2"/>
  <c r="I171" i="2"/>
  <c r="J171" i="2"/>
  <c r="A172" i="2"/>
  <c r="B172" i="2"/>
  <c r="C172" i="2"/>
  <c r="D172" i="2"/>
  <c r="G172" i="2"/>
  <c r="H172" i="2"/>
  <c r="I172" i="2"/>
  <c r="J172" i="2"/>
  <c r="A173" i="2"/>
  <c r="B173" i="2"/>
  <c r="C173" i="2"/>
  <c r="D173" i="2"/>
  <c r="G173" i="2"/>
  <c r="H173" i="2"/>
  <c r="I173" i="2"/>
  <c r="J173" i="2"/>
  <c r="A174" i="2"/>
  <c r="B174" i="2"/>
  <c r="C174" i="2"/>
  <c r="D174" i="2"/>
  <c r="G174" i="2"/>
  <c r="H174" i="2"/>
  <c r="I174" i="2"/>
  <c r="J174" i="2"/>
  <c r="A175" i="2"/>
  <c r="B175" i="2"/>
  <c r="C175" i="2"/>
  <c r="D175" i="2"/>
  <c r="G175" i="2"/>
  <c r="H175" i="2"/>
  <c r="I175" i="2"/>
  <c r="J175" i="2"/>
  <c r="A176" i="2"/>
  <c r="B176" i="2"/>
  <c r="C176" i="2"/>
  <c r="D176" i="2"/>
  <c r="G176" i="2"/>
  <c r="H176" i="2"/>
  <c r="I176" i="2"/>
  <c r="J176" i="2"/>
  <c r="A177" i="2"/>
  <c r="B177" i="2"/>
  <c r="C177" i="2"/>
  <c r="D177" i="2"/>
  <c r="G177" i="2"/>
  <c r="H177" i="2"/>
  <c r="I177" i="2"/>
  <c r="J177" i="2"/>
  <c r="A178" i="2"/>
  <c r="B178" i="2"/>
  <c r="C178" i="2"/>
  <c r="D178" i="2"/>
  <c r="G178" i="2"/>
  <c r="H178" i="2"/>
  <c r="I178" i="2"/>
  <c r="J178" i="2"/>
  <c r="A179" i="2"/>
  <c r="B179" i="2"/>
  <c r="D179" i="2"/>
  <c r="G179" i="2"/>
  <c r="I179" i="2"/>
  <c r="A180" i="2"/>
  <c r="B180" i="2"/>
  <c r="D180" i="2"/>
  <c r="G180" i="2"/>
  <c r="I180" i="2"/>
  <c r="A181" i="2"/>
  <c r="B181" i="2"/>
  <c r="D181" i="2"/>
  <c r="G181" i="2"/>
  <c r="I181" i="2"/>
  <c r="A182" i="2"/>
  <c r="B182" i="2"/>
  <c r="D182" i="2"/>
  <c r="G182" i="2"/>
  <c r="I182" i="2"/>
  <c r="A183" i="2"/>
  <c r="B183" i="2"/>
  <c r="D183" i="2"/>
  <c r="G183" i="2"/>
  <c r="I183" i="2"/>
  <c r="A184" i="2"/>
  <c r="B184" i="2"/>
  <c r="C184" i="2"/>
  <c r="D184" i="2"/>
  <c r="G184" i="2"/>
  <c r="H184" i="2"/>
  <c r="I184" i="2"/>
  <c r="J184" i="2"/>
  <c r="A185" i="2"/>
  <c r="B185" i="2"/>
  <c r="C185" i="2"/>
  <c r="D185" i="2"/>
  <c r="G185" i="2"/>
  <c r="H185" i="2"/>
  <c r="I185" i="2"/>
  <c r="J185" i="2"/>
  <c r="A186" i="2"/>
  <c r="B186" i="2"/>
  <c r="C186" i="2"/>
  <c r="D186" i="2"/>
  <c r="G186" i="2"/>
  <c r="H186" i="2"/>
  <c r="I186" i="2"/>
  <c r="J186" i="2"/>
  <c r="A187" i="2"/>
  <c r="B187" i="2"/>
  <c r="C187" i="2"/>
  <c r="D187" i="2"/>
  <c r="G187" i="2"/>
  <c r="H187" i="2"/>
  <c r="I187" i="2"/>
  <c r="J187" i="2"/>
  <c r="A188" i="2"/>
  <c r="B188" i="2"/>
  <c r="C188" i="2"/>
  <c r="D188" i="2"/>
  <c r="G188" i="2"/>
  <c r="H188" i="2"/>
  <c r="I188" i="2"/>
  <c r="J188" i="2"/>
  <c r="A189" i="2"/>
  <c r="B189" i="2"/>
  <c r="D189" i="2"/>
  <c r="G189" i="2"/>
  <c r="I189" i="2"/>
  <c r="A190" i="2"/>
  <c r="B190" i="2"/>
  <c r="D190" i="2"/>
  <c r="G190" i="2"/>
  <c r="I190" i="2"/>
  <c r="A191" i="2"/>
  <c r="B191" i="2"/>
  <c r="D191" i="2"/>
  <c r="G191" i="2"/>
  <c r="I191" i="2"/>
  <c r="A192" i="2"/>
  <c r="B192" i="2"/>
  <c r="D192" i="2"/>
  <c r="G192" i="2"/>
  <c r="I192" i="2"/>
  <c r="A193" i="2"/>
  <c r="B193" i="2"/>
  <c r="D193" i="2"/>
  <c r="G193" i="2"/>
  <c r="I193" i="2"/>
  <c r="A194" i="2"/>
  <c r="B194" i="2"/>
  <c r="C194" i="2"/>
  <c r="D194" i="2"/>
  <c r="G194" i="2"/>
  <c r="H194" i="2"/>
  <c r="I194" i="2"/>
  <c r="J194" i="2"/>
  <c r="A195" i="2"/>
  <c r="B195" i="2"/>
  <c r="C195" i="2"/>
  <c r="D195" i="2"/>
  <c r="G195" i="2"/>
  <c r="H195" i="2"/>
  <c r="I195" i="2"/>
  <c r="J195" i="2"/>
  <c r="A196" i="2"/>
  <c r="B196" i="2"/>
  <c r="C196" i="2"/>
  <c r="D196" i="2"/>
  <c r="G196" i="2"/>
  <c r="H196" i="2"/>
  <c r="I196" i="2"/>
  <c r="J196" i="2"/>
  <c r="A197" i="2"/>
  <c r="B197" i="2"/>
  <c r="C197" i="2"/>
  <c r="D197" i="2"/>
  <c r="G197" i="2"/>
  <c r="H197" i="2"/>
  <c r="I197" i="2"/>
  <c r="J197" i="2"/>
  <c r="A198" i="2"/>
  <c r="B198" i="2"/>
  <c r="C198" i="2"/>
  <c r="D198" i="2"/>
  <c r="G198" i="2"/>
  <c r="H198" i="2"/>
  <c r="I198" i="2"/>
  <c r="J198" i="2"/>
  <c r="A199" i="2"/>
  <c r="B199" i="2"/>
  <c r="D199" i="2"/>
  <c r="G199" i="2"/>
  <c r="I199" i="2"/>
  <c r="A200" i="2"/>
  <c r="B200" i="2"/>
  <c r="D200" i="2"/>
  <c r="G200" i="2"/>
  <c r="I200" i="2"/>
  <c r="A201" i="2"/>
  <c r="B201" i="2"/>
  <c r="D201" i="2"/>
  <c r="G201" i="2"/>
  <c r="I201" i="2"/>
  <c r="J201" i="2"/>
  <c r="A202" i="2"/>
  <c r="B202" i="2"/>
  <c r="D202" i="2"/>
  <c r="G202" i="2"/>
  <c r="I202" i="2"/>
  <c r="J202" i="2"/>
  <c r="A203" i="2"/>
  <c r="B203" i="2"/>
  <c r="D203" i="2"/>
  <c r="G203" i="2"/>
  <c r="I203" i="2"/>
  <c r="J203" i="2"/>
  <c r="A204" i="2"/>
  <c r="B204" i="2"/>
  <c r="D204" i="2"/>
  <c r="G204" i="2"/>
  <c r="I204" i="2"/>
  <c r="A205" i="2"/>
  <c r="B205" i="2"/>
  <c r="D205" i="2"/>
  <c r="G205" i="2"/>
  <c r="I205" i="2"/>
  <c r="A206" i="2"/>
  <c r="B206" i="2"/>
  <c r="D206" i="2"/>
  <c r="G206" i="2"/>
  <c r="I206" i="2"/>
  <c r="J206" i="2"/>
  <c r="A207" i="2"/>
  <c r="B207" i="2"/>
  <c r="C207" i="2"/>
  <c r="D207" i="2"/>
  <c r="G207" i="2"/>
  <c r="H207" i="2"/>
  <c r="I207" i="2"/>
  <c r="J207" i="2"/>
  <c r="A208" i="2"/>
  <c r="B208" i="2"/>
  <c r="C208" i="2"/>
  <c r="D208" i="2"/>
  <c r="G208" i="2"/>
  <c r="H208" i="2"/>
  <c r="I208" i="2"/>
  <c r="J208" i="2"/>
  <c r="A209" i="2"/>
  <c r="B209" i="2"/>
  <c r="D209" i="2"/>
  <c r="G209" i="2"/>
  <c r="I209" i="2"/>
  <c r="J209" i="2"/>
  <c r="A210" i="2"/>
  <c r="B210" i="2"/>
  <c r="C210" i="2"/>
  <c r="D210" i="2"/>
  <c r="G210" i="2"/>
  <c r="H210" i="2"/>
  <c r="I210" i="2"/>
  <c r="J210" i="2"/>
  <c r="A211" i="2"/>
  <c r="B211" i="2"/>
  <c r="C211" i="2"/>
  <c r="D211" i="2"/>
  <c r="G211" i="2"/>
  <c r="H211" i="2"/>
  <c r="I211" i="2"/>
  <c r="J211" i="2"/>
  <c r="C211" i="1"/>
  <c r="E211" i="1"/>
  <c r="C207" i="1"/>
  <c r="E207" i="1"/>
  <c r="C208" i="1"/>
  <c r="E208" i="1"/>
  <c r="C194" i="1"/>
  <c r="E194" i="1"/>
  <c r="C195" i="1"/>
  <c r="E195" i="1"/>
  <c r="C196" i="1"/>
  <c r="E196" i="1"/>
  <c r="C197" i="1"/>
  <c r="E197" i="1"/>
  <c r="C198" i="1"/>
  <c r="E198" i="1"/>
  <c r="C184" i="1"/>
  <c r="E184" i="1"/>
  <c r="C185" i="1"/>
  <c r="E185" i="1"/>
  <c r="C186" i="1"/>
  <c r="E186" i="1"/>
  <c r="C187" i="1"/>
  <c r="E187" i="1"/>
  <c r="C188" i="1"/>
  <c r="E188" i="1"/>
  <c r="E172" i="1"/>
  <c r="C172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46" i="1"/>
  <c r="E146" i="1"/>
  <c r="C147" i="1"/>
  <c r="E147" i="1"/>
  <c r="C148" i="1"/>
  <c r="E148" i="1"/>
  <c r="C149" i="1"/>
  <c r="E149" i="1"/>
  <c r="C137" i="1"/>
  <c r="E137" i="1"/>
  <c r="C138" i="1"/>
  <c r="E138" i="1"/>
  <c r="C139" i="1"/>
  <c r="E139" i="1"/>
  <c r="C140" i="1"/>
  <c r="E140" i="1"/>
  <c r="C125" i="1"/>
  <c r="E125" i="1"/>
  <c r="C126" i="1"/>
  <c r="E126" i="1"/>
  <c r="C127" i="1"/>
  <c r="E127" i="1"/>
  <c r="C128" i="1"/>
  <c r="E128" i="1"/>
  <c r="C129" i="1"/>
  <c r="E129" i="1"/>
  <c r="C121" i="1"/>
  <c r="E121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C117" i="1"/>
  <c r="E117" i="1"/>
  <c r="C118" i="1"/>
  <c r="E118" i="1"/>
  <c r="C100" i="1"/>
  <c r="E100" i="1"/>
  <c r="C89" i="1"/>
  <c r="E89" i="1"/>
  <c r="C84" i="1"/>
  <c r="E84" i="1"/>
  <c r="C85" i="1"/>
  <c r="E85" i="1"/>
  <c r="C86" i="1"/>
  <c r="E86" i="1"/>
  <c r="C87" i="1"/>
  <c r="E87" i="1"/>
  <c r="C80" i="1"/>
  <c r="E80" i="1"/>
  <c r="C65" i="1"/>
  <c r="E65" i="1"/>
  <c r="C62" i="2"/>
  <c r="G62" i="2"/>
  <c r="C63" i="1"/>
  <c r="C63" i="2" s="1"/>
  <c r="E63" i="1"/>
  <c r="G63" i="2" s="1"/>
  <c r="E58" i="1"/>
  <c r="G58" i="2" s="1"/>
  <c r="E57" i="1"/>
  <c r="G57" i="2" s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E41" i="1"/>
  <c r="C41" i="1"/>
  <c r="C38" i="1"/>
  <c r="E38" i="1"/>
  <c r="C39" i="1"/>
  <c r="E39" i="1"/>
  <c r="C40" i="1"/>
  <c r="E40" i="1"/>
  <c r="E5" i="1"/>
  <c r="C5" i="1"/>
  <c r="AL58" i="1"/>
  <c r="C58" i="1" s="1"/>
  <c r="AL57" i="1"/>
  <c r="C57" i="1" s="1"/>
  <c r="E95" i="1" l="1"/>
  <c r="G95" i="2" s="1"/>
  <c r="C95" i="1"/>
  <c r="C95" i="2" s="1"/>
  <c r="AO156" i="1"/>
  <c r="J156" i="2" s="1"/>
  <c r="AO155" i="1"/>
  <c r="J155" i="2" s="1"/>
  <c r="AO154" i="1"/>
  <c r="J154" i="2" s="1"/>
  <c r="AO153" i="1"/>
  <c r="J153" i="2" s="1"/>
  <c r="AO152" i="1"/>
  <c r="J152" i="2" s="1"/>
  <c r="AO151" i="1"/>
  <c r="J151" i="2" s="1"/>
  <c r="AO150" i="1"/>
  <c r="J150" i="2" s="1"/>
  <c r="AO136" i="1"/>
  <c r="J136" i="2" s="1"/>
  <c r="AO135" i="1"/>
  <c r="J135" i="2" s="1"/>
  <c r="AO134" i="1"/>
  <c r="J134" i="2" s="1"/>
  <c r="AO133" i="1"/>
  <c r="J133" i="2" s="1"/>
  <c r="AO132" i="1"/>
  <c r="J132" i="2" s="1"/>
  <c r="AO131" i="1"/>
  <c r="J131" i="2" s="1"/>
  <c r="AO130" i="1"/>
  <c r="J130" i="2" s="1"/>
  <c r="AO124" i="1"/>
  <c r="J124" i="2" s="1"/>
  <c r="AO123" i="1"/>
  <c r="J123" i="2" s="1"/>
  <c r="AO122" i="1"/>
  <c r="J122" i="2" s="1"/>
  <c r="AO120" i="1"/>
  <c r="J120" i="2" s="1"/>
  <c r="AO119" i="1"/>
  <c r="J119" i="2" s="1"/>
  <c r="E254" i="6"/>
  <c r="E253" i="6"/>
  <c r="AO145" i="1"/>
  <c r="J145" i="2" s="1"/>
  <c r="AO144" i="1"/>
  <c r="J144" i="2" s="1"/>
  <c r="AO183" i="1"/>
  <c r="J183" i="2" s="1"/>
  <c r="AO143" i="1"/>
  <c r="J143" i="2" s="1"/>
  <c r="AO142" i="1"/>
  <c r="J142" i="2" s="1"/>
  <c r="AO141" i="1"/>
  <c r="J141" i="2" s="1"/>
  <c r="AO64" i="1"/>
  <c r="J64" i="2" s="1"/>
  <c r="AO179" i="1"/>
  <c r="J179" i="2" s="1"/>
  <c r="AO204" i="1"/>
  <c r="J204" i="2" s="1"/>
  <c r="AO193" i="1"/>
  <c r="J193" i="2" s="1"/>
  <c r="AO192" i="1"/>
  <c r="J192" i="2" s="1"/>
  <c r="AO191" i="1"/>
  <c r="J191" i="2" s="1"/>
  <c r="AO190" i="1"/>
  <c r="J190" i="2" s="1"/>
  <c r="AO189" i="1"/>
  <c r="J189" i="2" s="1"/>
  <c r="AO182" i="1"/>
  <c r="J182" i="2" s="1"/>
  <c r="AO181" i="1"/>
  <c r="J181" i="2" s="1"/>
  <c r="AO180" i="1"/>
  <c r="J180" i="2" s="1"/>
  <c r="AO205" i="1"/>
  <c r="J205" i="2" s="1"/>
  <c r="AO200" i="1"/>
  <c r="J200" i="2" s="1"/>
  <c r="AO199" i="1"/>
  <c r="J199" i="2" s="1"/>
  <c r="AO92" i="1" l="1"/>
  <c r="J92" i="2" s="1"/>
  <c r="AO91" i="1"/>
  <c r="J91" i="2" s="1"/>
  <c r="AO94" i="1"/>
  <c r="J94" i="2" s="1"/>
  <c r="AO83" i="1"/>
  <c r="J83" i="2" s="1"/>
  <c r="AO82" i="1"/>
  <c r="J82" i="2" s="1"/>
  <c r="AO81" i="1"/>
  <c r="J81" i="2" s="1"/>
  <c r="AO90" i="1"/>
  <c r="J90" i="2" s="1"/>
  <c r="AO88" i="1"/>
  <c r="J88" i="2" s="1"/>
  <c r="H5" i="5" l="1"/>
  <c r="H6" i="5"/>
  <c r="H7" i="5"/>
  <c r="H8" i="5"/>
  <c r="H3" i="5"/>
  <c r="H2" i="5"/>
  <c r="G12" i="5"/>
  <c r="F5" i="5"/>
  <c r="F6" i="5"/>
  <c r="F7" i="5"/>
  <c r="F8" i="5"/>
  <c r="F3" i="5"/>
  <c r="F2" i="5"/>
  <c r="D43" i="6"/>
  <c r="K37" i="6"/>
  <c r="K36" i="6"/>
  <c r="K35" i="6"/>
  <c r="K34" i="6"/>
  <c r="K33" i="6"/>
  <c r="B26" i="5" l="1"/>
  <c r="M145" i="1"/>
  <c r="M144" i="1"/>
  <c r="M143" i="1"/>
  <c r="M142" i="1"/>
  <c r="M141" i="1"/>
  <c r="W82" i="1" l="1"/>
  <c r="W83" i="1"/>
  <c r="W81" i="1"/>
  <c r="H266" i="6"/>
  <c r="H264" i="6"/>
  <c r="Z83" i="1"/>
  <c r="Z82" i="1"/>
  <c r="Z81" i="1"/>
  <c r="T92" i="1"/>
  <c r="T94" i="1"/>
  <c r="T90" i="1"/>
  <c r="T91" i="1"/>
  <c r="Q94" i="1"/>
  <c r="T88" i="1"/>
  <c r="H170" i="6"/>
  <c r="H168" i="6"/>
  <c r="Q90" i="1"/>
  <c r="Q91" i="1"/>
  <c r="Q92" i="1"/>
  <c r="Q88" i="1"/>
  <c r="H199" i="6"/>
  <c r="H198" i="6"/>
  <c r="T83" i="1"/>
  <c r="T82" i="1"/>
  <c r="T81" i="1"/>
  <c r="H149" i="6"/>
  <c r="H147" i="6"/>
  <c r="Q83" i="1"/>
  <c r="Q82" i="1"/>
  <c r="Q81" i="1"/>
  <c r="H179" i="6"/>
  <c r="H178" i="6"/>
  <c r="H301" i="6"/>
  <c r="H300" i="6"/>
  <c r="H299" i="6"/>
  <c r="H298" i="6"/>
  <c r="Z3" i="1"/>
  <c r="Z4" i="1"/>
  <c r="Z6" i="1"/>
  <c r="Z2" i="1"/>
  <c r="T3" i="1"/>
  <c r="T4" i="1"/>
  <c r="T6" i="1"/>
  <c r="T2" i="1"/>
  <c r="Q3" i="1"/>
  <c r="Q4" i="1"/>
  <c r="Q6" i="1"/>
  <c r="Q2" i="1"/>
  <c r="H189" i="6"/>
  <c r="H188" i="6"/>
  <c r="H159" i="6"/>
  <c r="H158" i="6"/>
  <c r="H498" i="6"/>
  <c r="H488" i="6"/>
  <c r="H499" i="6"/>
  <c r="H489" i="6"/>
  <c r="H500" i="6"/>
  <c r="H497" i="6"/>
  <c r="H487" i="6"/>
  <c r="H267" i="6" l="1"/>
  <c r="H171" i="6"/>
  <c r="H200" i="6"/>
  <c r="H180" i="6"/>
  <c r="H150" i="6"/>
  <c r="H303" i="6"/>
  <c r="H160" i="6"/>
  <c r="H190" i="6"/>
  <c r="H501" i="6"/>
  <c r="H490" i="6"/>
  <c r="G587" i="6" l="1"/>
  <c r="G588" i="6"/>
  <c r="G586" i="6"/>
  <c r="D574" i="6"/>
  <c r="F568" i="6"/>
  <c r="F567" i="6"/>
  <c r="F566" i="6"/>
  <c r="F565" i="6"/>
  <c r="F564" i="6"/>
  <c r="AF3" i="1"/>
  <c r="AF4" i="1"/>
  <c r="AF6" i="1"/>
  <c r="AF2" i="1"/>
  <c r="H540" i="6"/>
  <c r="H539" i="6"/>
  <c r="H538" i="6"/>
  <c r="H550" i="6"/>
  <c r="H553" i="6"/>
  <c r="H552" i="6"/>
  <c r="H551" i="6"/>
  <c r="R528" i="6"/>
  <c r="R526" i="6"/>
  <c r="R524" i="6"/>
  <c r="R522" i="6"/>
  <c r="R520" i="6"/>
  <c r="R518" i="6"/>
  <c r="R516" i="6"/>
  <c r="R514" i="6"/>
  <c r="R512" i="6"/>
  <c r="O528" i="6"/>
  <c r="O526" i="6"/>
  <c r="O524" i="6"/>
  <c r="O522" i="6"/>
  <c r="O520" i="6"/>
  <c r="O518" i="6"/>
  <c r="O516" i="6"/>
  <c r="O514" i="6"/>
  <c r="O512" i="6"/>
  <c r="I528" i="6"/>
  <c r="I526" i="6"/>
  <c r="I524" i="6"/>
  <c r="I522" i="6"/>
  <c r="I520" i="6"/>
  <c r="I518" i="6"/>
  <c r="I516" i="6"/>
  <c r="I514" i="6"/>
  <c r="I512" i="6"/>
  <c r="F528" i="6"/>
  <c r="F526" i="6"/>
  <c r="F524" i="6"/>
  <c r="F522" i="6"/>
  <c r="F520" i="6"/>
  <c r="F518" i="6"/>
  <c r="F516" i="6"/>
  <c r="F514" i="6"/>
  <c r="F512" i="6"/>
  <c r="K510" i="6"/>
  <c r="L516" i="6" s="1"/>
  <c r="J479" i="6"/>
  <c r="J476" i="6"/>
  <c r="J475" i="6"/>
  <c r="J474" i="6"/>
  <c r="K463" i="6"/>
  <c r="I460" i="6"/>
  <c r="H460" i="6"/>
  <c r="I459" i="6"/>
  <c r="H459" i="6"/>
  <c r="I458" i="6"/>
  <c r="H458" i="6"/>
  <c r="I457" i="6"/>
  <c r="H457" i="6"/>
  <c r="I456" i="6"/>
  <c r="H456" i="6"/>
  <c r="I455" i="6"/>
  <c r="H455" i="6"/>
  <c r="I454" i="6"/>
  <c r="H454" i="6"/>
  <c r="I453" i="6"/>
  <c r="H453" i="6"/>
  <c r="I452" i="6"/>
  <c r="H452" i="6"/>
  <c r="I451" i="6"/>
  <c r="H451" i="6"/>
  <c r="I450" i="6"/>
  <c r="H450" i="6"/>
  <c r="I449" i="6"/>
  <c r="H449" i="6"/>
  <c r="I448" i="6"/>
  <c r="H448" i="6"/>
  <c r="I447" i="6"/>
  <c r="H447" i="6"/>
  <c r="I446" i="6"/>
  <c r="H446" i="6"/>
  <c r="I445" i="6"/>
  <c r="H445" i="6"/>
  <c r="I444" i="6"/>
  <c r="H444" i="6"/>
  <c r="I443" i="6"/>
  <c r="H443" i="6"/>
  <c r="I442" i="6"/>
  <c r="H442" i="6"/>
  <c r="I441" i="6"/>
  <c r="H441" i="6"/>
  <c r="I440" i="6"/>
  <c r="H440" i="6"/>
  <c r="I439" i="6"/>
  <c r="H439" i="6"/>
  <c r="I438" i="6"/>
  <c r="H438" i="6"/>
  <c r="I437" i="6"/>
  <c r="H437" i="6"/>
  <c r="I436" i="6"/>
  <c r="H436" i="6"/>
  <c r="I435" i="6"/>
  <c r="H435" i="6"/>
  <c r="I434" i="6"/>
  <c r="H434" i="6"/>
  <c r="E326" i="6"/>
  <c r="E327" i="6" s="1"/>
  <c r="H314" i="6"/>
  <c r="H313" i="6"/>
  <c r="H312" i="6"/>
  <c r="E333" i="6"/>
  <c r="E334" i="6" s="1"/>
  <c r="G285" i="6"/>
  <c r="H285" i="6" s="1"/>
  <c r="G284" i="6"/>
  <c r="H284" i="6" s="1"/>
  <c r="G282" i="6"/>
  <c r="H282" i="6" s="1"/>
  <c r="G280" i="6"/>
  <c r="H280" i="6" s="1"/>
  <c r="G278" i="6"/>
  <c r="H278" i="6" s="1"/>
  <c r="G276" i="6"/>
  <c r="H276" i="6" s="1"/>
  <c r="G275" i="6"/>
  <c r="H275" i="6" s="1"/>
  <c r="G227" i="6"/>
  <c r="J222" i="6" s="1"/>
  <c r="I140" i="6"/>
  <c r="K140" i="6" s="1"/>
  <c r="I139" i="6"/>
  <c r="K139" i="6" s="1"/>
  <c r="I138" i="6"/>
  <c r="K138" i="6" s="1"/>
  <c r="I137" i="6"/>
  <c r="K137" i="6" s="1"/>
  <c r="I136" i="6"/>
  <c r="K136" i="6" s="1"/>
  <c r="I135" i="6"/>
  <c r="K135" i="6" s="1"/>
  <c r="I134" i="6"/>
  <c r="K134" i="6" s="1"/>
  <c r="I133" i="6"/>
  <c r="K133" i="6" s="1"/>
  <c r="I132" i="6"/>
  <c r="K132" i="6" s="1"/>
  <c r="I131" i="6"/>
  <c r="K131" i="6" s="1"/>
  <c r="I130" i="6"/>
  <c r="K130" i="6" s="1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J112" i="6"/>
  <c r="G111" i="6"/>
  <c r="K111" i="6" s="1"/>
  <c r="F111" i="6"/>
  <c r="J111" i="6" s="1"/>
  <c r="G110" i="6"/>
  <c r="K110" i="6" s="1"/>
  <c r="F110" i="6"/>
  <c r="J110" i="6" s="1"/>
  <c r="G109" i="6"/>
  <c r="K109" i="6" s="1"/>
  <c r="F109" i="6"/>
  <c r="J109" i="6" s="1"/>
  <c r="G108" i="6"/>
  <c r="K108" i="6" s="1"/>
  <c r="F108" i="6"/>
  <c r="J108" i="6" s="1"/>
  <c r="G107" i="6"/>
  <c r="K107" i="6" s="1"/>
  <c r="F107" i="6"/>
  <c r="J107" i="6" s="1"/>
  <c r="G106" i="6"/>
  <c r="K106" i="6" s="1"/>
  <c r="F106" i="6"/>
  <c r="J106" i="6" s="1"/>
  <c r="G105" i="6"/>
  <c r="K105" i="6" s="1"/>
  <c r="F105" i="6"/>
  <c r="J105" i="6" s="1"/>
  <c r="G104" i="6"/>
  <c r="K104" i="6" s="1"/>
  <c r="F104" i="6"/>
  <c r="J104" i="6" s="1"/>
  <c r="G103" i="6"/>
  <c r="K103" i="6" s="1"/>
  <c r="F103" i="6"/>
  <c r="G102" i="6"/>
  <c r="K102" i="6" s="1"/>
  <c r="F102" i="6"/>
  <c r="J102" i="6" s="1"/>
  <c r="K60" i="6"/>
  <c r="G245" i="6"/>
  <c r="F12" i="6"/>
  <c r="D12" i="6"/>
  <c r="I235" i="6"/>
  <c r="E235" i="6" s="1"/>
  <c r="H239" i="6"/>
  <c r="J239" i="6" s="1"/>
  <c r="E239" i="6" s="1"/>
  <c r="I236" i="6"/>
  <c r="E236" i="6" s="1"/>
  <c r="I234" i="6"/>
  <c r="E234" i="6" s="1"/>
  <c r="E85" i="6"/>
  <c r="H93" i="6"/>
  <c r="J93" i="6" s="1"/>
  <c r="E93" i="6" s="1"/>
  <c r="I86" i="6"/>
  <c r="E86" i="6" s="1"/>
  <c r="I90" i="6"/>
  <c r="E90" i="6" s="1"/>
  <c r="I89" i="6"/>
  <c r="E89" i="6" s="1"/>
  <c r="I88" i="6"/>
  <c r="E88" i="6" s="1"/>
  <c r="I87" i="6"/>
  <c r="E87" i="6" s="1"/>
  <c r="E71" i="6"/>
  <c r="H78" i="6"/>
  <c r="J78" i="6" s="1"/>
  <c r="E78" i="6" s="1"/>
  <c r="I75" i="6"/>
  <c r="E75" i="6" s="1"/>
  <c r="I74" i="6"/>
  <c r="E74" i="6" s="1"/>
  <c r="I73" i="6"/>
  <c r="E73" i="6" s="1"/>
  <c r="I72" i="6"/>
  <c r="E72" i="6" s="1"/>
  <c r="I206" i="1"/>
  <c r="I203" i="1"/>
  <c r="I202" i="1"/>
  <c r="I201" i="1"/>
  <c r="J103" i="6" l="1"/>
  <c r="I34" i="6"/>
  <c r="I36" i="6"/>
  <c r="I37" i="6"/>
  <c r="I33" i="6"/>
  <c r="I35" i="6"/>
  <c r="G589" i="6"/>
  <c r="G590" i="6" s="1"/>
  <c r="H541" i="6"/>
  <c r="H554" i="6"/>
  <c r="L520" i="6"/>
  <c r="S520" i="6" s="1"/>
  <c r="L518" i="6"/>
  <c r="S518" i="6" s="1"/>
  <c r="L524" i="6"/>
  <c r="S524" i="6" s="1"/>
  <c r="L522" i="6"/>
  <c r="S522" i="6" s="1"/>
  <c r="S516" i="6"/>
  <c r="L526" i="6"/>
  <c r="S526" i="6" s="1"/>
  <c r="L512" i="6"/>
  <c r="S512" i="6" s="1"/>
  <c r="L528" i="6"/>
  <c r="S528" i="6" s="1"/>
  <c r="L514" i="6"/>
  <c r="S514" i="6" s="1"/>
  <c r="H470" i="6"/>
  <c r="G381" i="6" s="1"/>
  <c r="H465" i="6"/>
  <c r="H373" i="6" s="1"/>
  <c r="I468" i="6"/>
  <c r="I470" i="6"/>
  <c r="H468" i="6"/>
  <c r="H467" i="6"/>
  <c r="I467" i="6"/>
  <c r="H466" i="6"/>
  <c r="H469" i="6"/>
  <c r="I469" i="6"/>
  <c r="I465" i="6"/>
  <c r="I466" i="6"/>
  <c r="H316" i="6"/>
  <c r="F13" i="6"/>
  <c r="D576" i="6" s="1"/>
  <c r="G231" i="6"/>
  <c r="I82" i="6"/>
  <c r="H68" i="6"/>
  <c r="J588" i="6" l="1"/>
  <c r="J587" i="6"/>
  <c r="J586" i="6"/>
  <c r="G565" i="6"/>
  <c r="G564" i="6"/>
  <c r="G566" i="6"/>
  <c r="G567" i="6"/>
  <c r="G568" i="6"/>
  <c r="S530" i="6"/>
  <c r="G380" i="6"/>
  <c r="G378" i="6"/>
  <c r="H379" i="6"/>
  <c r="G422" i="6"/>
  <c r="G406" i="6"/>
  <c r="G388" i="6"/>
  <c r="G423" i="6"/>
  <c r="G407" i="6"/>
  <c r="G404" i="6"/>
  <c r="G389" i="6"/>
  <c r="G421" i="6"/>
  <c r="G405" i="6"/>
  <c r="G391" i="6"/>
  <c r="G420" i="6"/>
  <c r="H422" i="6"/>
  <c r="H420" i="6"/>
  <c r="H423" i="6"/>
  <c r="H421" i="6"/>
  <c r="H371" i="6"/>
  <c r="H407" i="6"/>
  <c r="H415" i="6"/>
  <c r="H393" i="6"/>
  <c r="H389" i="6"/>
  <c r="H410" i="6"/>
  <c r="K361" i="6" s="1"/>
  <c r="H391" i="6"/>
  <c r="H412" i="6"/>
  <c r="H405" i="6"/>
  <c r="H413" i="6"/>
  <c r="H395" i="6"/>
  <c r="H408" i="6"/>
  <c r="H404" i="6"/>
  <c r="H392" i="6"/>
  <c r="H409" i="6"/>
  <c r="H411" i="6"/>
  <c r="H388" i="6"/>
  <c r="H396" i="6"/>
  <c r="H406" i="6"/>
  <c r="K357" i="6" s="1"/>
  <c r="H414" i="6"/>
  <c r="H424" i="6"/>
  <c r="H425" i="6"/>
  <c r="H426" i="6"/>
  <c r="H428" i="6"/>
  <c r="H427" i="6"/>
  <c r="H429" i="6"/>
  <c r="H430" i="6"/>
  <c r="G426" i="6"/>
  <c r="G410" i="6"/>
  <c r="J361" i="6" s="1"/>
  <c r="G392" i="6"/>
  <c r="G425" i="6"/>
  <c r="G424" i="6"/>
  <c r="G408" i="6"/>
  <c r="G409" i="6"/>
  <c r="G393" i="6"/>
  <c r="G379" i="6"/>
  <c r="G412" i="6"/>
  <c r="G428" i="6"/>
  <c r="G413" i="6"/>
  <c r="J364" i="6" s="1"/>
  <c r="G429" i="6"/>
  <c r="G414" i="6"/>
  <c r="J365" i="6" s="1"/>
  <c r="G430" i="6"/>
  <c r="G411" i="6"/>
  <c r="G395" i="6"/>
  <c r="G415" i="6"/>
  <c r="G396" i="6"/>
  <c r="G427" i="6"/>
  <c r="H381" i="6"/>
  <c r="H372" i="6"/>
  <c r="H380" i="6"/>
  <c r="H378" i="6"/>
  <c r="H375" i="6"/>
  <c r="H376" i="6"/>
  <c r="H374" i="6"/>
  <c r="H370" i="6"/>
  <c r="K354" i="6" s="1"/>
  <c r="G373" i="6"/>
  <c r="G375" i="6"/>
  <c r="G370" i="6"/>
  <c r="J354" i="6" s="1"/>
  <c r="G372" i="6"/>
  <c r="G374" i="6"/>
  <c r="G376" i="6"/>
  <c r="G371" i="6"/>
  <c r="F18" i="6"/>
  <c r="F16" i="6"/>
  <c r="F17" i="6"/>
  <c r="J362" i="6" l="1"/>
  <c r="J357" i="6"/>
  <c r="K363" i="6"/>
  <c r="J358" i="6"/>
  <c r="K359" i="6"/>
  <c r="K364" i="6"/>
  <c r="K362" i="6"/>
  <c r="J363" i="6"/>
  <c r="J356" i="6"/>
  <c r="J359" i="6"/>
  <c r="K356" i="6"/>
  <c r="K365" i="6"/>
  <c r="K355" i="6"/>
  <c r="J355" i="6"/>
  <c r="K358" i="6"/>
  <c r="J360" i="6"/>
  <c r="K360" i="6"/>
  <c r="C210" i="1" l="1"/>
  <c r="Q102" i="1"/>
  <c r="Q101" i="1"/>
  <c r="Q99" i="1"/>
  <c r="Q98" i="1"/>
  <c r="Q97" i="1"/>
  <c r="Q96" i="1"/>
  <c r="M102" i="1" l="1"/>
  <c r="M101" i="1"/>
  <c r="M99" i="1"/>
  <c r="M98" i="1"/>
  <c r="M97" i="1"/>
  <c r="M96" i="1"/>
  <c r="M82" i="1"/>
  <c r="M83" i="1"/>
  <c r="M88" i="1"/>
  <c r="M90" i="1"/>
  <c r="M91" i="1"/>
  <c r="M92" i="1"/>
  <c r="M94" i="1"/>
  <c r="M81" i="1"/>
  <c r="M79" i="1"/>
  <c r="M78" i="1"/>
  <c r="M3" i="1"/>
  <c r="M4" i="1"/>
  <c r="M6" i="1"/>
  <c r="M2" i="1"/>
  <c r="AO77" i="1" l="1"/>
  <c r="J77" i="2" s="1"/>
  <c r="AO76" i="1"/>
  <c r="J76" i="2" s="1"/>
  <c r="AO75" i="1"/>
  <c r="J75" i="2" s="1"/>
  <c r="AO74" i="1"/>
  <c r="J74" i="2" s="1"/>
  <c r="AO73" i="1"/>
  <c r="J73" i="2" s="1"/>
  <c r="AO72" i="1"/>
  <c r="J72" i="2" s="1"/>
  <c r="AO71" i="1"/>
  <c r="J71" i="2" s="1"/>
  <c r="AO70" i="1"/>
  <c r="J70" i="2" s="1"/>
  <c r="AO69" i="1"/>
  <c r="J69" i="2" s="1"/>
  <c r="AO68" i="1"/>
  <c r="J68" i="2" s="1"/>
  <c r="AO67" i="1"/>
  <c r="J67" i="2" s="1"/>
  <c r="AO66" i="1"/>
  <c r="J66" i="2" s="1"/>
  <c r="AO61" i="1"/>
  <c r="J61" i="2" s="1"/>
  <c r="AO60" i="1"/>
  <c r="J60" i="2" s="1"/>
  <c r="AO59" i="1"/>
  <c r="J59" i="2" s="1"/>
  <c r="AO29" i="1"/>
  <c r="J29" i="2" s="1"/>
  <c r="AO28" i="1"/>
  <c r="J28" i="2" s="1"/>
  <c r="AO27" i="1"/>
  <c r="J27" i="2" s="1"/>
  <c r="AO26" i="1"/>
  <c r="J26" i="2" s="1"/>
  <c r="AO25" i="1"/>
  <c r="J25" i="2" s="1"/>
  <c r="AO24" i="1"/>
  <c r="J24" i="2" s="1"/>
  <c r="AO23" i="1"/>
  <c r="J23" i="2" s="1"/>
  <c r="AO22" i="1"/>
  <c r="J22" i="2" s="1"/>
  <c r="AO21" i="1"/>
  <c r="J21" i="2" s="1"/>
  <c r="AO20" i="1"/>
  <c r="J20" i="2" s="1"/>
  <c r="AO6" i="1"/>
  <c r="J6" i="2" s="1"/>
  <c r="AO4" i="1"/>
  <c r="J4" i="2" s="1"/>
  <c r="AO3" i="1"/>
  <c r="J3" i="2" s="1"/>
  <c r="AO2" i="1"/>
  <c r="I32" i="5"/>
  <c r="J32" i="5"/>
  <c r="H32" i="5"/>
  <c r="G13" i="5" l="1"/>
  <c r="B17" i="5"/>
  <c r="G17" i="5" s="1"/>
  <c r="D21" i="5" s="1"/>
  <c r="AL168" i="1" s="1"/>
  <c r="B16" i="5"/>
  <c r="G16" i="5" s="1"/>
  <c r="D20" i="5" s="1"/>
  <c r="E171" i="1"/>
  <c r="C171" i="1"/>
  <c r="AL165" i="1"/>
  <c r="AL164" i="1"/>
  <c r="M151" i="1"/>
  <c r="M152" i="1"/>
  <c r="M153" i="1"/>
  <c r="M154" i="1"/>
  <c r="M155" i="1"/>
  <c r="M156" i="1"/>
  <c r="M150" i="1"/>
  <c r="W102" i="1"/>
  <c r="W101" i="1"/>
  <c r="I102" i="1"/>
  <c r="I101" i="1"/>
  <c r="W99" i="1"/>
  <c r="W98" i="1"/>
  <c r="W96" i="1"/>
  <c r="W97" i="1"/>
  <c r="I99" i="1"/>
  <c r="I98" i="1"/>
  <c r="I97" i="1"/>
  <c r="I96" i="1"/>
  <c r="AI19" i="1" l="1"/>
  <c r="AI11" i="1"/>
  <c r="AI2" i="1"/>
  <c r="AI102" i="1"/>
  <c r="AI91" i="1"/>
  <c r="AI77" i="1"/>
  <c r="AI69" i="1"/>
  <c r="AI37" i="1"/>
  <c r="AI18" i="1"/>
  <c r="AI10" i="1"/>
  <c r="AI36" i="1"/>
  <c r="AI101" i="1"/>
  <c r="AI90" i="1"/>
  <c r="AI76" i="1"/>
  <c r="AI68" i="1"/>
  <c r="AI17" i="1"/>
  <c r="AI9" i="1"/>
  <c r="AI35" i="1"/>
  <c r="AI99" i="1"/>
  <c r="AI88" i="1"/>
  <c r="AI75" i="1"/>
  <c r="AI67" i="1"/>
  <c r="AI16" i="1"/>
  <c r="AI8" i="1"/>
  <c r="AI34" i="1"/>
  <c r="AI98" i="1"/>
  <c r="AI83" i="1"/>
  <c r="AI74" i="1"/>
  <c r="AI66" i="1"/>
  <c r="AI15" i="1"/>
  <c r="AI7" i="1"/>
  <c r="AI33" i="1"/>
  <c r="AI97" i="1"/>
  <c r="AI82" i="1"/>
  <c r="AI73" i="1"/>
  <c r="AI64" i="1"/>
  <c r="AI14" i="1"/>
  <c r="AI6" i="1"/>
  <c r="AI32" i="1"/>
  <c r="AI96" i="1"/>
  <c r="AI81" i="1"/>
  <c r="AI72" i="1"/>
  <c r="AI61" i="1"/>
  <c r="AI13" i="1"/>
  <c r="AI4" i="1"/>
  <c r="AI31" i="1"/>
  <c r="AI94" i="1"/>
  <c r="AI79" i="1"/>
  <c r="AI71" i="1"/>
  <c r="AI60" i="1"/>
  <c r="AI12" i="1"/>
  <c r="AI3" i="1"/>
  <c r="AI30" i="1"/>
  <c r="AI92" i="1"/>
  <c r="AI78" i="1"/>
  <c r="AI70" i="1"/>
  <c r="AI59" i="1"/>
  <c r="AL166" i="1"/>
  <c r="I166" i="2" s="1"/>
  <c r="AL170" i="1"/>
  <c r="I170" i="2" s="1"/>
  <c r="AL169" i="1"/>
  <c r="I169" i="2" s="1"/>
  <c r="AL167" i="1"/>
  <c r="I167" i="2" s="1"/>
  <c r="AI179" i="1"/>
  <c r="AI145" i="1"/>
  <c r="AI204" i="1"/>
  <c r="AI191" i="1"/>
  <c r="AI144" i="1"/>
  <c r="AI203" i="1"/>
  <c r="AI190" i="1"/>
  <c r="AI143" i="1"/>
  <c r="AI202" i="1"/>
  <c r="AI189" i="1"/>
  <c r="AI142" i="1"/>
  <c r="AI201" i="1"/>
  <c r="AI183" i="1"/>
  <c r="AI141" i="1"/>
  <c r="AI200" i="1"/>
  <c r="AI182" i="1"/>
  <c r="AI209" i="1"/>
  <c r="AI199" i="1"/>
  <c r="AI181" i="1"/>
  <c r="AI206" i="1"/>
  <c r="AI193" i="1"/>
  <c r="AI180" i="1"/>
  <c r="AI205" i="1"/>
  <c r="AI192" i="1"/>
  <c r="H6" i="2"/>
  <c r="I168" i="2"/>
  <c r="B21" i="5"/>
  <c r="H193" i="2" l="1"/>
  <c r="H192" i="2"/>
  <c r="H83" i="2"/>
  <c r="H180" i="2"/>
  <c r="H78" i="2"/>
  <c r="H64" i="2"/>
  <c r="H88" i="2"/>
  <c r="H68" i="2"/>
  <c r="H102" i="2"/>
  <c r="H179" i="2"/>
  <c r="H90" i="2"/>
  <c r="H191" i="2"/>
  <c r="H32" i="2"/>
  <c r="H189" i="2"/>
  <c r="H199" i="2"/>
  <c r="H205" i="2"/>
  <c r="H145" i="2"/>
  <c r="H82" i="2"/>
  <c r="H97" i="2"/>
  <c r="H142" i="2"/>
  <c r="H190" i="2"/>
  <c r="H99" i="2"/>
  <c r="H11" i="2"/>
  <c r="H3" i="2"/>
  <c r="H204" i="2"/>
  <c r="H19" i="2"/>
  <c r="H91" i="2"/>
  <c r="H96" i="2"/>
  <c r="H12" i="2"/>
  <c r="H143" i="2"/>
  <c r="H4" i="2"/>
  <c r="H206" i="2"/>
  <c r="H94" i="2"/>
  <c r="H92" i="2"/>
  <c r="H183" i="2"/>
  <c r="H181" i="2"/>
  <c r="H141" i="2"/>
  <c r="H101" i="2"/>
  <c r="H79" i="2"/>
  <c r="H98" i="2"/>
  <c r="H81" i="2"/>
  <c r="H200" i="2"/>
  <c r="H182" i="2"/>
  <c r="H144" i="2"/>
  <c r="H33" i="2"/>
  <c r="H75" i="2"/>
  <c r="H202" i="2"/>
  <c r="H14" i="2"/>
  <c r="H203" i="2"/>
  <c r="H66" i="2"/>
  <c r="H77" i="2"/>
  <c r="H201" i="2"/>
  <c r="H10" i="2"/>
  <c r="H61" i="2"/>
  <c r="H13" i="2"/>
  <c r="H71" i="2"/>
  <c r="H9" i="2"/>
  <c r="H67" i="2"/>
  <c r="H69" i="2"/>
  <c r="H209" i="2"/>
  <c r="H18" i="2"/>
  <c r="H7" i="2"/>
  <c r="H59" i="2"/>
  <c r="H37" i="2"/>
  <c r="H31" i="2"/>
  <c r="H60" i="2"/>
  <c r="H35" i="2"/>
  <c r="H72" i="2"/>
  <c r="H74" i="2"/>
  <c r="H17" i="2"/>
  <c r="H34" i="2"/>
  <c r="H76" i="2"/>
  <c r="H70" i="2"/>
  <c r="H16" i="2"/>
  <c r="H8" i="2"/>
  <c r="H15" i="2"/>
  <c r="H73" i="2"/>
  <c r="H36" i="2"/>
  <c r="H30" i="2"/>
  <c r="W90" i="1"/>
  <c r="W91" i="1"/>
  <c r="W92" i="1"/>
  <c r="W94" i="1"/>
  <c r="W88" i="1"/>
  <c r="AC82" i="1"/>
  <c r="AC83" i="1"/>
  <c r="AC81" i="1"/>
  <c r="E209" i="1" l="1"/>
  <c r="E21" i="1"/>
  <c r="G21" i="2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G35" i="2" s="1"/>
  <c r="E36" i="1"/>
  <c r="G36" i="2" s="1"/>
  <c r="E37" i="1"/>
  <c r="G37" i="2" s="1"/>
  <c r="E59" i="1"/>
  <c r="G59" i="2" s="1"/>
  <c r="E60" i="1"/>
  <c r="G60" i="2" s="1"/>
  <c r="G61" i="2"/>
  <c r="E64" i="1"/>
  <c r="G64" i="2" s="1"/>
  <c r="E66" i="1"/>
  <c r="G66" i="2" s="1"/>
  <c r="E67" i="1"/>
  <c r="G67" i="2" s="1"/>
  <c r="E68" i="1"/>
  <c r="G68" i="2" s="1"/>
  <c r="E69" i="1"/>
  <c r="G69" i="2" s="1"/>
  <c r="E70" i="1"/>
  <c r="G70" i="2" s="1"/>
  <c r="E71" i="1"/>
  <c r="G71" i="2" s="1"/>
  <c r="E72" i="1"/>
  <c r="G72" i="2" s="1"/>
  <c r="E73" i="1"/>
  <c r="G73" i="2" s="1"/>
  <c r="E74" i="1"/>
  <c r="G74" i="2" s="1"/>
  <c r="E75" i="1"/>
  <c r="G75" i="2" s="1"/>
  <c r="E76" i="1"/>
  <c r="G76" i="2" s="1"/>
  <c r="E77" i="1"/>
  <c r="G77" i="2" s="1"/>
  <c r="E96" i="1"/>
  <c r="G96" i="2" s="1"/>
  <c r="E97" i="1"/>
  <c r="G97" i="2" s="1"/>
  <c r="E98" i="1"/>
  <c r="E99" i="1"/>
  <c r="E101" i="1"/>
  <c r="E102" i="1"/>
  <c r="E119" i="1"/>
  <c r="E120" i="1"/>
  <c r="E122" i="1"/>
  <c r="E123" i="1"/>
  <c r="E124" i="1"/>
  <c r="E130" i="1"/>
  <c r="E131" i="1"/>
  <c r="E132" i="1"/>
  <c r="E133" i="1"/>
  <c r="E134" i="1"/>
  <c r="E135" i="1"/>
  <c r="E136" i="1"/>
  <c r="E150" i="1"/>
  <c r="E151" i="1"/>
  <c r="E152" i="1"/>
  <c r="E153" i="1"/>
  <c r="E154" i="1"/>
  <c r="E155" i="1"/>
  <c r="E156" i="1"/>
  <c r="E164" i="1"/>
  <c r="E165" i="1"/>
  <c r="E166" i="1"/>
  <c r="E167" i="1"/>
  <c r="E168" i="1"/>
  <c r="E169" i="1"/>
  <c r="E170" i="1"/>
  <c r="E173" i="1"/>
  <c r="E174" i="1"/>
  <c r="E175" i="1"/>
  <c r="E176" i="1"/>
  <c r="E177" i="1"/>
  <c r="E178" i="1"/>
  <c r="E179" i="1"/>
  <c r="E210" i="1"/>
  <c r="E20" i="1"/>
  <c r="C20" i="1"/>
  <c r="C20" i="2" s="1"/>
  <c r="C21" i="1"/>
  <c r="C21" i="2" s="1"/>
  <c r="C22" i="1"/>
  <c r="C22" i="2" s="1"/>
  <c r="C23" i="1"/>
  <c r="C23" i="2" s="1"/>
  <c r="C24" i="1"/>
  <c r="C24" i="2" s="1"/>
  <c r="C25" i="1"/>
  <c r="C25" i="2" s="1"/>
  <c r="C26" i="1"/>
  <c r="C26" i="2" s="1"/>
  <c r="C27" i="1"/>
  <c r="C27" i="2" s="1"/>
  <c r="C28" i="1"/>
  <c r="C28" i="2" s="1"/>
  <c r="C29" i="1"/>
  <c r="C29" i="2" s="1"/>
  <c r="C31" i="1"/>
  <c r="C31" i="2" s="1"/>
  <c r="C64" i="1"/>
  <c r="C64" i="2" s="1"/>
  <c r="C66" i="1"/>
  <c r="C66" i="2" s="1"/>
  <c r="C67" i="1"/>
  <c r="C67" i="2" s="1"/>
  <c r="C68" i="1"/>
  <c r="C68" i="2" s="1"/>
  <c r="C69" i="1"/>
  <c r="C69" i="2" s="1"/>
  <c r="C70" i="1"/>
  <c r="C70" i="2" s="1"/>
  <c r="C71" i="1"/>
  <c r="C71" i="2" s="1"/>
  <c r="C72" i="1"/>
  <c r="C72" i="2" s="1"/>
  <c r="C73" i="1"/>
  <c r="C73" i="2" s="1"/>
  <c r="C74" i="1"/>
  <c r="C74" i="2" s="1"/>
  <c r="C75" i="1"/>
  <c r="C75" i="2" s="1"/>
  <c r="C76" i="1"/>
  <c r="C76" i="2" s="1"/>
  <c r="C77" i="1"/>
  <c r="C77" i="2" s="1"/>
  <c r="C96" i="1"/>
  <c r="C96" i="2" s="1"/>
  <c r="C97" i="1"/>
  <c r="C97" i="2" s="1"/>
  <c r="C98" i="1"/>
  <c r="C98" i="2" s="1"/>
  <c r="C99" i="1"/>
  <c r="C99" i="2" s="1"/>
  <c r="C101" i="1"/>
  <c r="C101" i="2" s="1"/>
  <c r="C102" i="1"/>
  <c r="C102" i="2" s="1"/>
  <c r="C119" i="1"/>
  <c r="C119" i="2" s="1"/>
  <c r="C120" i="1"/>
  <c r="C120" i="2" s="1"/>
  <c r="C122" i="1"/>
  <c r="C122" i="2" s="1"/>
  <c r="C123" i="1"/>
  <c r="C123" i="2" s="1"/>
  <c r="C124" i="1"/>
  <c r="C124" i="2" s="1"/>
  <c r="C130" i="1"/>
  <c r="C130" i="2" s="1"/>
  <c r="C131" i="1"/>
  <c r="C131" i="2" s="1"/>
  <c r="C132" i="1"/>
  <c r="C132" i="2" s="1"/>
  <c r="C133" i="1"/>
  <c r="C133" i="2" s="1"/>
  <c r="C134" i="1"/>
  <c r="C134" i="2" s="1"/>
  <c r="C135" i="1"/>
  <c r="C135" i="2" s="1"/>
  <c r="C136" i="1"/>
  <c r="C136" i="2" s="1"/>
  <c r="C150" i="1"/>
  <c r="C150" i="2" s="1"/>
  <c r="C151" i="1"/>
  <c r="C151" i="2" s="1"/>
  <c r="C152" i="1"/>
  <c r="C152" i="2" s="1"/>
  <c r="C153" i="1"/>
  <c r="C153" i="2" s="1"/>
  <c r="C154" i="1"/>
  <c r="C154" i="2" s="1"/>
  <c r="C155" i="1"/>
  <c r="C155" i="2" s="1"/>
  <c r="C156" i="1"/>
  <c r="C156" i="2" s="1"/>
  <c r="C164" i="1"/>
  <c r="C165" i="1"/>
  <c r="C166" i="1"/>
  <c r="C166" i="2" s="1"/>
  <c r="C167" i="1"/>
  <c r="C167" i="2" s="1"/>
  <c r="C168" i="1"/>
  <c r="C168" i="2" s="1"/>
  <c r="C169" i="1"/>
  <c r="C169" i="2" s="1"/>
  <c r="C170" i="1"/>
  <c r="C170" i="2" s="1"/>
  <c r="C173" i="1"/>
  <c r="C174" i="1"/>
  <c r="C175" i="1"/>
  <c r="C176" i="1"/>
  <c r="C177" i="1"/>
  <c r="C178" i="1"/>
  <c r="C179" i="1"/>
  <c r="C179" i="2" s="1"/>
  <c r="C209" i="1"/>
  <c r="C209" i="2" s="1"/>
  <c r="W3" i="1"/>
  <c r="AC3" i="1"/>
  <c r="W4" i="1"/>
  <c r="AC4" i="1"/>
  <c r="W6" i="1"/>
  <c r="AC6" i="1"/>
  <c r="AC2" i="1"/>
  <c r="W2" i="1"/>
  <c r="C88" i="1"/>
  <c r="C88" i="2" s="1"/>
  <c r="C90" i="1"/>
  <c r="C90" i="2" s="1"/>
  <c r="C91" i="1"/>
  <c r="C91" i="2" s="1"/>
  <c r="C92" i="1"/>
  <c r="C92" i="2" s="1"/>
  <c r="E94" i="1"/>
  <c r="G94" i="2" s="1"/>
  <c r="C2" i="1" l="1"/>
  <c r="C6" i="1"/>
  <c r="C6" i="2" s="1"/>
  <c r="C93" i="1"/>
  <c r="C93" i="2" s="1"/>
  <c r="C94" i="1"/>
  <c r="C94" i="2" s="1"/>
  <c r="E6" i="1"/>
  <c r="C4" i="1"/>
  <c r="C4" i="2" s="1"/>
  <c r="E4" i="1"/>
  <c r="E3" i="1"/>
  <c r="C3" i="1"/>
  <c r="C3" i="2" s="1"/>
  <c r="E92" i="1"/>
  <c r="G92" i="2" s="1"/>
  <c r="E2" i="1"/>
  <c r="E91" i="1"/>
  <c r="G91" i="2" s="1"/>
  <c r="E90" i="1"/>
  <c r="G90" i="2" s="1"/>
  <c r="E88" i="1"/>
  <c r="G88" i="2" s="1"/>
  <c r="M205" i="1"/>
  <c r="M204" i="1"/>
  <c r="E201" i="1"/>
  <c r="M200" i="1"/>
  <c r="M199" i="1"/>
  <c r="M193" i="1"/>
  <c r="M192" i="1"/>
  <c r="M191" i="1"/>
  <c r="M190" i="1"/>
  <c r="M189" i="1"/>
  <c r="M183" i="1"/>
  <c r="M182" i="1"/>
  <c r="M181" i="1"/>
  <c r="M180" i="1"/>
  <c r="C199" i="1" l="1"/>
  <c r="C199" i="2" s="1"/>
  <c r="E199" i="1"/>
  <c r="C200" i="1"/>
  <c r="C200" i="2" s="1"/>
  <c r="E200" i="1"/>
  <c r="E183" i="1"/>
  <c r="C183" i="1"/>
  <c r="C183" i="2" s="1"/>
  <c r="C142" i="1"/>
  <c r="C142" i="2" s="1"/>
  <c r="E142" i="1"/>
  <c r="C181" i="1"/>
  <c r="C181" i="2" s="1"/>
  <c r="E181" i="1"/>
  <c r="E141" i="1"/>
  <c r="C141" i="1"/>
  <c r="C141" i="2" s="1"/>
  <c r="C189" i="1"/>
  <c r="C189" i="2" s="1"/>
  <c r="E189" i="1"/>
  <c r="E202" i="1"/>
  <c r="C202" i="1"/>
  <c r="C202" i="2" s="1"/>
  <c r="C143" i="1"/>
  <c r="C143" i="2" s="1"/>
  <c r="E143" i="1"/>
  <c r="C190" i="1"/>
  <c r="C190" i="2" s="1"/>
  <c r="E190" i="1"/>
  <c r="C203" i="1"/>
  <c r="C203" i="2" s="1"/>
  <c r="E203" i="1"/>
  <c r="C191" i="1"/>
  <c r="C191" i="2" s="1"/>
  <c r="E191" i="1"/>
  <c r="E182" i="1"/>
  <c r="C182" i="1"/>
  <c r="C182" i="2" s="1"/>
  <c r="C201" i="1"/>
  <c r="C201" i="2" s="1"/>
  <c r="C144" i="1"/>
  <c r="C144" i="2" s="1"/>
  <c r="E144" i="1"/>
  <c r="E204" i="1"/>
  <c r="C204" i="1"/>
  <c r="C204" i="2" s="1"/>
  <c r="E145" i="1"/>
  <c r="C145" i="1"/>
  <c r="C145" i="2" s="1"/>
  <c r="C192" i="1"/>
  <c r="C192" i="2" s="1"/>
  <c r="E192" i="1"/>
  <c r="C205" i="1"/>
  <c r="C205" i="2" s="1"/>
  <c r="E205" i="1"/>
  <c r="C180" i="1"/>
  <c r="C180" i="2" s="1"/>
  <c r="E180" i="1"/>
  <c r="C193" i="1"/>
  <c r="C193" i="2" s="1"/>
  <c r="E193" i="1"/>
  <c r="C206" i="1"/>
  <c r="C206" i="2" s="1"/>
  <c r="E206" i="1"/>
  <c r="Z79" i="1"/>
  <c r="Z78" i="1"/>
  <c r="Q79" i="1"/>
  <c r="Q78" i="1"/>
  <c r="T79" i="1"/>
  <c r="E81" i="1" l="1"/>
  <c r="G81" i="2" s="1"/>
  <c r="C81" i="1"/>
  <c r="C81" i="2" s="1"/>
  <c r="E82" i="1"/>
  <c r="G82" i="2" s="1"/>
  <c r="C82" i="1"/>
  <c r="C82" i="2" s="1"/>
  <c r="E83" i="1"/>
  <c r="G83" i="2" s="1"/>
  <c r="C83" i="1"/>
  <c r="C83" i="2" s="1"/>
  <c r="T78" i="1"/>
  <c r="C78" i="1" l="1"/>
  <c r="C78" i="2" s="1"/>
  <c r="C79" i="1"/>
  <c r="C79" i="2" s="1"/>
  <c r="E79" i="1"/>
  <c r="G79" i="2" s="1"/>
  <c r="E78" i="1"/>
  <c r="G78" i="2" s="1"/>
  <c r="D2" i="2"/>
  <c r="J2" i="2"/>
  <c r="E3" i="3" s="1" a="1"/>
  <c r="E3" i="3" s="1"/>
  <c r="I2" i="2"/>
  <c r="D3" i="3" s="1" a="1"/>
  <c r="D3" i="3" s="1"/>
  <c r="H2" i="2"/>
  <c r="C3" i="3" s="1" a="1"/>
  <c r="C3" i="3" s="1"/>
  <c r="B2" i="2"/>
  <c r="A2" i="2"/>
  <c r="C37" i="1"/>
  <c r="C37" i="2" s="1"/>
  <c r="C36" i="1"/>
  <c r="C36" i="2" s="1"/>
  <c r="C35" i="1"/>
  <c r="C35" i="2" s="1"/>
  <c r="C34" i="1"/>
  <c r="C34" i="2" s="1"/>
  <c r="C33" i="1"/>
  <c r="C33" i="2" s="1"/>
  <c r="C32" i="1"/>
  <c r="C32" i="2" s="1"/>
  <c r="M19" i="1"/>
  <c r="M18" i="1"/>
  <c r="M17" i="1"/>
  <c r="M16" i="1"/>
  <c r="M15" i="1"/>
  <c r="M14" i="1"/>
  <c r="M13" i="1"/>
  <c r="M12" i="1"/>
  <c r="M10" i="1"/>
  <c r="M9" i="1"/>
  <c r="M8" i="1"/>
  <c r="B3" i="3" l="1" a="1"/>
  <c r="B3" i="3" s="1"/>
  <c r="C18" i="1"/>
  <c r="C18" i="2" s="1"/>
  <c r="E18" i="1"/>
  <c r="C19" i="1"/>
  <c r="C19" i="2" s="1"/>
  <c r="E19" i="1"/>
  <c r="E8" i="1"/>
  <c r="C8" i="1"/>
  <c r="C8" i="2" s="1"/>
  <c r="C12" i="1"/>
  <c r="C12" i="2" s="1"/>
  <c r="E12" i="1"/>
  <c r="C9" i="1"/>
  <c r="C9" i="2" s="1"/>
  <c r="E9" i="1"/>
  <c r="E13" i="1"/>
  <c r="C13" i="1"/>
  <c r="C13" i="2" s="1"/>
  <c r="E16" i="1"/>
  <c r="C16" i="1"/>
  <c r="C16" i="2" s="1"/>
  <c r="C10" i="1"/>
  <c r="C10" i="2" s="1"/>
  <c r="E10" i="1"/>
  <c r="E14" i="1"/>
  <c r="C14" i="1"/>
  <c r="C14" i="2" s="1"/>
  <c r="E15" i="1"/>
  <c r="C15" i="1"/>
  <c r="C15" i="2" s="1"/>
  <c r="E17" i="1"/>
  <c r="C17" i="1"/>
  <c r="C17" i="2" s="1"/>
  <c r="G2" i="2"/>
  <c r="C2" i="2"/>
  <c r="C61" i="1" l="1"/>
  <c r="C61" i="2" s="1"/>
  <c r="C60" i="1"/>
  <c r="C60" i="2" s="1"/>
  <c r="C59" i="1"/>
  <c r="C59" i="2" s="1"/>
  <c r="C30" i="1"/>
  <c r="C30" i="2" s="1"/>
  <c r="M11" i="1"/>
  <c r="M7" i="1"/>
  <c r="C7" i="1" l="1"/>
  <c r="C7" i="2" s="1"/>
  <c r="E7" i="1"/>
  <c r="C11" i="1"/>
  <c r="C11" i="2" s="1"/>
  <c r="E11" i="1"/>
  <c r="B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tc={CE78552F-FA27-4272-9BB3-926BA2C202A2}</author>
    <author>tc={EB753EAA-33B2-40D7-9909-EED3C5C292CD}</author>
    <author>tc={B7FD60B1-B633-40C6-A84F-52CA8D90FD20}</author>
    <author>tc={8E4E2B54-A199-49AB-A4E2-2CF1E2D66022}</author>
    <author>tc={3BB4D38E-3F61-43AC-A24F-27969E8588A1}</author>
    <author>tc={29A7EFC1-74CC-4821-B061-5C31FE5CEC66}</author>
    <author>tc={8D0E0396-944C-4216-BFE6-67F118574D89}</author>
    <author>tc={26AA0527-D328-4EFB-8928-11946583DDEF}</author>
    <author>tc={B6AB1E6A-B84E-4CE2-BEE3-F5244641E464}</author>
    <author>tc={EC4E50B3-F727-41F3-B5A7-0E1A1B62C0BF}</author>
    <author>tc={F0CBEDDA-0635-4357-9EAD-290F68833FFB}</author>
    <author>tc={E0CB3427-C0F2-4A34-83EE-ACDBE965254F}</author>
    <author>tc={CA785DC1-1DF2-4B4C-90C6-C4873B9E660B}</author>
    <author>tc={BB6ED5BB-4023-47AC-8325-56532C413EB1}</author>
    <author>tc={B762BFA1-B654-49DA-9579-318B7E402F32}</author>
    <author>tc={27AD0A5B-3B35-4F1A-8A72-D0882D8E35CD}</author>
    <author>tc={A1899A7A-A58D-450F-9AA5-2002D01208DE}</author>
    <author>tc={34417322-7478-49E2-8AB3-226D30F966EC}</author>
    <author>tc={D1A26DE2-DABB-44C3-8791-6C2F96F9BB51}</author>
    <author>tc={5AD8832C-5CBD-4AAB-8BAC-184B707BD3D0}</author>
    <author>tc={0B4F915E-7F6D-4986-9C60-0E51537DEE1F}</author>
    <author>tc={114AD320-1AE1-4721-A447-E3A732D58FFB}</author>
    <author>tc={63427B74-AAB8-443C-91B7-1BBF31E6EC65}</author>
    <author>tc={59148478-FE50-48B4-8488-6711B21515D1}</author>
    <author>tc={C72A9910-592E-4CAF-B2BA-E6EFCB062050}</author>
    <author>tc={C02F2026-CD9A-4C60-9E03-3B767FF7F2B8}</author>
    <author>tc={0B5AA885-1D75-4AC4-8156-FC5D99492DA8}</author>
    <author>tc={4DD865BF-58B4-40CA-B5CF-2AA1930D97AD}</author>
    <author>tc={6D0DE158-173A-41C0-A8DF-A4D203A3967D}</author>
    <author>tc={E6BDE073-D332-488F-89A3-28B10BFA4171}</author>
    <author>tc={6F090260-494B-46EC-8724-58E14BBE48B2}</author>
    <author>tc={3F8B0DAC-9286-4844-BCC4-C967FEC8B3FA}</author>
    <author>tc={635FAA52-F610-4D3D-A84E-939ABA4D2F02}</author>
    <author>tc={4E859767-DB47-4028-B492-B1CEE89A3CFC}</author>
    <author>tc={201510D9-BA3C-4099-949B-3DF147BB3347}</author>
    <author>tc={4C1674AB-9C54-4386-874C-8F7D70BD7AF9}</author>
    <author>tc={871E08F1-E37F-447D-AAE0-ECADE5B364C2}</author>
    <author>tc={00D8739D-225D-4FD0-9B1B-218B91E341AD}</author>
    <author>tc={9D16389E-1002-4274-B941-40A4F12143E3}</author>
    <author>tc={285833F1-06E9-4ADA-80DB-92A3639A0C9E}</author>
    <author>tc={B52BF139-7806-4DDB-9FF4-4969EEFD0014}</author>
    <author>tc={2E0F41BA-730C-4529-A23E-E5A38916E2EA}</author>
    <author>tc={89FE4117-B359-4AF9-A72C-799AEA438EDC}</author>
    <author>tc={585630D9-4881-4B46-BE3A-424C66E7DB64}</author>
    <author>tc={07C19999-CE69-44F3-958D-4C19AFC9BC44}</author>
    <author>tc={4060BA53-4E4E-43C3-902A-6AC0EC126EAB}</author>
    <author>tc={FB141F9F-44A4-4336-8A48-7B692FD4458C}</author>
    <author>tc={C6016A71-8013-45B0-AF56-8BEAF1EC9A3C}</author>
    <author>tc={FEFFACC4-7C3C-4844-9FE6-571C28A2E321}</author>
    <author>tc={A3CB2CDE-8D56-48AB-9663-7FB775B2ED7C}</author>
    <author>tc={711033CB-BA08-4B00-AEEE-97D8ADE2BFE6}</author>
    <author>tc={01312737-D33C-4914-AF67-F1E04245E01C}</author>
    <author>tc={5CA6602D-D221-43BB-B56D-E6560127A0BF}</author>
    <author>tc={718E722E-C7E8-4D29-9F38-4CD34F9304DA}</author>
    <author>tc={E90A8AD0-913A-4FC2-910A-64291DA7664F}</author>
    <author>tc={F6B558D0-DCCD-4B33-BD78-95DC990F8B6E}</author>
    <author>tc={88FA78D0-BA63-48C6-8C87-A5CFD0E86049}</author>
    <author>tc={F7EA2F11-0D32-41CF-A9CC-C0ED9ACD64CB}</author>
    <author>tc={B44087F2-851F-4BD8-A174-11A48B620C23}</author>
    <author>tc={86784A9B-DF78-41E8-84A8-06A685888E6F}</author>
    <author>tc={7CE79B83-3BBD-4C2C-9613-A25DAD221D6D}</author>
    <author>tc={8D0530C0-DE4D-441A-9056-3B925E1ECAC9}</author>
    <author>tc={2B5F7113-11A1-42FC-9768-74EDCD3DF4AE}</author>
    <author>tc={743CD06B-1A6B-49BA-B85D-8C4850D1442F}</author>
    <author>tc={5435F8F4-9314-40EA-A11D-45AFF337214C}</author>
    <author>tc={AFB1340E-EB0D-40AF-B492-99FAB1477382}</author>
    <author>tc={78864A5A-DDD6-4190-9522-6164BD3699AC}</author>
    <author>tc={5543C497-0679-45AC-84C7-EB1349DD1A6D}</author>
    <author>tc={0080DC85-AAD7-488E-9CEC-C07D8A2A1752}</author>
    <author>tc={241149F3-A651-4D16-A117-95FE4596AAC4}</author>
    <author>tc={5E76757E-C2D0-4B34-A286-6D6C3134AA15}</author>
    <author>tc={6EA01BAF-CFA3-4EA5-84B1-101D1DC2B681}</author>
    <author>tc={C28AD3A5-AEC5-4586-9791-5E2AE70BE51C}</author>
    <author>tc={F535B0F8-7AAC-4E7A-B3AE-A4ECFFBCB0A0}</author>
    <author>tc={D314755E-4943-41F8-8577-960A8287473D}</author>
    <author>tc={FE6345EE-D4DB-4289-8608-56F6CD3B502D}</author>
    <author>tc={5594B4FF-827E-40E9-8E1C-903959A45724}</author>
    <author>tc={C034FCA5-EA8F-44D8-86BC-FBA7C872A873}</author>
    <author>tc={B1DC89C0-9994-4B92-905E-BF919E542F48}</author>
    <author>tc={0CB6992A-6040-444E-8FB2-89C828CBE44C}</author>
    <author>tc={8AAB8295-EDE7-428C-A97B-FE92D53D4689}</author>
    <author>tc={CED461C3-AE90-4ECC-BE21-59B7D457766C}</author>
    <author>tc={44464293-9761-4179-B125-82E58B540EDE}</author>
    <author>tc={3252349C-0D94-467C-84C4-2DFD9E1A23DE}</author>
  </authors>
  <commentList>
    <comment ref="AM2" authorId="0" shapeId="0" xr:uid="{CE78552F-FA27-4272-9BB3-926BA2C202A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https://datasheet.prysmian.com/pdf/datasheet/fi-FI/328837/FI00_AMKA1KV</t>
      </text>
    </comment>
    <comment ref="AM3" authorId="1" shapeId="0" xr:uid="{EB753EAA-33B2-40D7-9909-EED3C5C292C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https://datasheet.prysmian.com/pdf/datasheet/fi-FI/328837/FI00_AMKA1KV</t>
      </text>
    </comment>
    <comment ref="AM4" authorId="2" shapeId="0" xr:uid="{B7FD60B1-B633-40C6-A84F-52CA8D90FD2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https://datasheet.prysmian.com/pdf/datasheet/fi-FI/328837/FI00_AMKA1KV</t>
      </text>
    </comment>
    <comment ref="AM6" authorId="3" shapeId="0" xr:uid="{8E4E2B54-A199-49AB-A4E2-2CF1E2D6602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https://datasheet.prysmian.com/pdf/datasheet/fi-FI/328837/FI00_AMKA1KV</t>
      </text>
    </comment>
    <comment ref="AM20" authorId="4" shapeId="0" xr:uid="{3BB4D38E-3F61-43AC-A24F-27969E8588A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1" authorId="5" shapeId="0" xr:uid="{29A7EFC1-74CC-4821-B061-5C31FE5CEC6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2" authorId="6" shapeId="0" xr:uid="{8D0E0396-944C-4216-BFE6-67F118574D8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3" authorId="7" shapeId="0" xr:uid="{26AA0527-D328-4EFB-8928-11946583DDE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4" authorId="8" shapeId="0" xr:uid="{B6AB1E6A-B84E-4CE2-BEE3-F5244641E46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5" authorId="9" shapeId="0" xr:uid="{EC4E50B3-F727-41F3-B5A7-0E1A1B62C0B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6" authorId="10" shapeId="0" xr:uid="{F0CBEDDA-0635-4357-9EAD-290F68833FF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7" authorId="11" shapeId="0" xr:uid="{E0CB3427-C0F2-4A34-83EE-ACDBE965254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8" authorId="12" shapeId="0" xr:uid="{CA785DC1-1DF2-4B4C-90C6-C4873B9E660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M29" authorId="13" shapeId="0" xr:uid="{BB6ED5BB-4023-47AC-8325-56532C413EB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https://www.reka.fi/tuoteryhma/axmk-pe-powerex-pe/</t>
      </text>
    </comment>
    <comment ref="AK57" authorId="14" shapeId="0" xr:uid="{B762BFA1-B654-49DA-9579-318B7E402F32}">
      <text>
        <t>[Threaded comment]
Your version of Excel allows you to read this threaded comment; however, any edits to it will get removed if the file is opened in a newer version of Excel. Learn more: https://go.microsoft.com/fwlink/?linkid=870924
Comment:
Kaivinkoneen päästö / tunti kerrottuna työhön menevällä tuntimäärällä.
KKH 21
https://co2data.fi/infra/#fi_id7100000855</t>
      </text>
    </comment>
    <comment ref="AK58" authorId="15" shapeId="0" xr:uid="{27AD0A5B-3B35-4F1A-8A72-D0882D8E35CD}">
      <text>
        <t>[Threaded comment]
Your version of Excel allows you to read this threaded comment; however, any edits to it will get removed if the file is opened in a newer version of Excel. Learn more: https://go.microsoft.com/fwlink/?linkid=870924
Comment:
Kaivinkoneen päästö / tunti kerrottuna työhön menevällä tuntimäärällä.
KKH 21
https://co2data.fi/infra/#fi_id7100000855</t>
      </text>
    </comment>
    <comment ref="AM59" authorId="16" shapeId="0" xr:uid="{A1899A7A-A58D-450F-9AA5-2002D01208D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https://www.onninen.fi/green-transfo-jakelumuuntaja-sphera-dt-t2-100-kva-1-0-4/p/CNC664</t>
      </text>
    </comment>
    <comment ref="AM60" authorId="17" shapeId="0" xr:uid="{34417322-7478-49E2-8AB3-226D30F966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https://www.onninen.fi/green-transfo-jakelumuuntaja-sphera-dt-t2-30-kva-1-0-4/p/CNC669
</t>
      </text>
    </comment>
    <comment ref="AM61" authorId="18" shapeId="0" xr:uid="{D1A26DE2-DABB-44C3-8791-6C2F96F9BB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https://www.onninen.fi/green-transfo-jakelumuuntaja-sphera-dt-t2-50-kva-1-0-4/p/CNC665
</t>
      </text>
    </comment>
    <comment ref="AM64" authorId="19" shapeId="0" xr:uid="{5AD8832C-5CBD-4AAB-8BAC-184B707BD3D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F78" authorId="20" shapeId="0" xr:uid="{0B4F915E-7F6D-4986-9C60-0E51537DEE1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X78" authorId="21" shapeId="0" xr:uid="{114AD320-1AE1-4721-A447-E3A732D58FFB}">
      <text>
        <t>[Threaded comment]
Your version of Excel allows you to read this threaded comment; however, any edits to it will get removed if the file is opened in a newer version of Excel. Learn more: https://go.microsoft.com/fwlink/?linkid=870924
Comment:
    AMKA 70mm2, 10m</t>
      </text>
    </comment>
    <comment ref="F79" authorId="22" shapeId="0" xr:uid="{63427B74-AAB8-443C-91B7-1BBF31E6EC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X79" authorId="23" shapeId="0" xr:uid="{59148478-FE50-48B4-8488-6711B21515D1}">
      <text>
        <t>[Threaded comment]
Your version of Excel allows you to read this threaded comment; however, any edits to it will get removed if the file is opened in a newer version of Excel. Learn more: https://go.microsoft.com/fwlink/?linkid=870924
Comment:
    AMKA 70mm2, 10m</t>
      </text>
    </comment>
    <comment ref="AM81" authorId="24" shapeId="0" xr:uid="{C72A9910-592E-4CAF-B2BA-E6EFCB06205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https://datasheet.prysmian.com/pdf/datasheet/fi-FI/329126/FI00_ACSR</t>
      </text>
    </comment>
    <comment ref="AM82" authorId="25" shapeId="0" xr:uid="{C02F2026-CD9A-4C60-9E03-3B767FF7F2B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https://datasheet.prysmian.com/pdf/datasheet/fi-FI/329126/FI00_ACSR</t>
      </text>
    </comment>
    <comment ref="AM83" authorId="26" shapeId="0" xr:uid="{0B5AA885-1D75-4AC4-8156-FC5D99492DA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https://datasheet.prysmian.com/pdf/datasheet/fi-FI/329126/FI00_ACSR</t>
      </text>
    </comment>
    <comment ref="AM88" authorId="27" shapeId="0" xr:uid="{4DD865BF-58B4-40CA-B5CF-2AA1930D97A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https://kesko-onninen-pim-resources-production.s3-eu-west-1.amazonaws.com/pimdocuments/FISTK_0122259_10052.pdf</t>
      </text>
    </comment>
    <comment ref="AM90" authorId="28" shapeId="0" xr:uid="{6D0DE158-173A-41C0-A8DF-A4D203A3967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https://kesko-onninen-pim-resources-production.s3-eu-west-1.amazonaws.com/pimdocuments/FISTK_0122259_10052.pdf</t>
      </text>
    </comment>
    <comment ref="AM91" authorId="29" shapeId="0" xr:uid="{E6BDE073-D332-488F-89A3-28B10BFA417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https://www.reka.fi/tuoteryhma/ahxamk-wm-12-20-24-kv-3-johdin/</t>
      </text>
    </comment>
    <comment ref="AM92" authorId="30" shapeId="0" xr:uid="{6F090260-494B-46EC-8724-58E14BBE48B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https://www.reka.fi/tuoteryhma/ahxamk-wm-12-20-24-kv-3-johdin/</t>
      </text>
    </comment>
    <comment ref="AM94" authorId="31" shapeId="0" xr:uid="{3F8B0DAC-9286-4844-BCC4-C967FEC8B3F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https://www.reka.fi/tuoteryhma/ahxamk-wm-12-20-24-kv-3-johdin/</t>
      </text>
    </comment>
    <comment ref="F96" authorId="32" shapeId="0" xr:uid="{635FAA52-F610-4D3D-A84E-939ABA4D2F0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F97" authorId="33" shapeId="0" xr:uid="{4E859767-DB47-4028-B492-B1CEE89A3CF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F98" authorId="34" shapeId="0" xr:uid="{201510D9-BA3C-4099-949B-3DF147BB334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F99" authorId="35" shapeId="0" xr:uid="{4C1674AB-9C54-4386-874C-8F7D70BD7A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F101" authorId="36" shapeId="0" xr:uid="{871E08F1-E37F-447D-AAE0-ECADE5B364C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F102" authorId="37" shapeId="0" xr:uid="{00D8739D-225D-4FD0-9B1B-218B91E341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>
      </text>
    </comment>
    <comment ref="AM119" authorId="38" shapeId="0" xr:uid="{9D16389E-1002-4274-B941-40A4F12143E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</t>
      </text>
    </comment>
    <comment ref="AM120" authorId="39" shapeId="0" xr:uid="{285833F1-06E9-4ADA-80DB-92A3639A0C9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</t>
      </text>
    </comment>
    <comment ref="AM122" authorId="40" shapeId="0" xr:uid="{B52BF139-7806-4DDB-9FF4-4969EEFD001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</t>
      </text>
    </comment>
    <comment ref="AM123" authorId="41" shapeId="0" xr:uid="{2E0F41BA-730C-4529-A23E-E5A38916E2E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</t>
      </text>
    </comment>
    <comment ref="AM124" authorId="42" shapeId="0" xr:uid="{89FE4117-B359-4AF9-A72C-799AEA438ED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</t>
      </text>
    </comment>
    <comment ref="AM130" authorId="43" shapeId="0" xr:uid="{585630D9-4881-4B46-BE3A-424C66E7DB6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
</t>
      </text>
    </comment>
    <comment ref="AM131" authorId="44" shapeId="0" xr:uid="{07C19999-CE69-44F3-958D-4C19AFC9BC4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32" authorId="45" shapeId="0" xr:uid="{4060BA53-4E4E-43C3-902A-6AC0EC126EA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33" authorId="46" shapeId="0" xr:uid="{FB141F9F-44A4-4336-8A48-7B692FD4458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34" authorId="47" shapeId="0" xr:uid="{C6016A71-8013-45B0-AF56-8BEAF1EC9A3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35" authorId="48" shapeId="0" xr:uid="{FEFFACC4-7C3C-4844-9FE6-571C28A2E32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36" authorId="49" shapeId="0" xr:uid="{A3CB2CDE-8D56-48AB-9663-7FB775B2ED7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41" authorId="50" shapeId="0" xr:uid="{711033CB-BA08-4B00-AEEE-97D8ADE2BFE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42" authorId="51" shapeId="0" xr:uid="{01312737-D33C-4914-AF67-F1E04245E01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43" authorId="52" shapeId="0" xr:uid="{5CA6602D-D221-43BB-B56D-E6560127A0B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44" authorId="53" shapeId="0" xr:uid="{718E722E-C7E8-4D29-9F38-4CD34F9304D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AM145" authorId="54" shapeId="0" xr:uid="{E90A8AD0-913A-4FC2-910A-64291DA7664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AM150" authorId="55" shapeId="0" xr:uid="{F6B558D0-DCCD-4B33-BD78-95DC990F8B6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
</t>
      </text>
    </comment>
    <comment ref="AM151" authorId="56" shapeId="0" xr:uid="{88FA78D0-BA63-48C6-8C87-A5CFD0E8604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52" authorId="57" shapeId="0" xr:uid="{F7EA2F11-0D32-41CF-A9CC-C0ED9ACD64C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53" authorId="58" shapeId="0" xr:uid="{B44087F2-851F-4BD8-A174-11A48B620C2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54" authorId="59" shapeId="0" xr:uid="{86784A9B-DF78-41E8-84A8-06A685888E6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55" authorId="60" shapeId="0" xr:uid="{7CE79B83-3BBD-4C2C-9613-A25DAD221D6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M156" authorId="61" shapeId="0" xr:uid="{8D0530C0-DE4D-441A-9056-3B925E1ECAC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https://www.reka.fi/tuoteryhma/ahxamk-w-12-20-24-kv-3-johdin/</t>
      </text>
    </comment>
    <comment ref="AK164" authorId="62" shapeId="0" xr:uid="{2B5F7113-11A1-42FC-9768-74EDCD3DF4AE}">
      <text>
        <t>[Threaded comment]
Your version of Excel allows you to read this threaded comment; however, any edits to it will get removed if the file is opened in a newer version of Excel. Learn more: https://go.microsoft.com/fwlink/?linkid=870924
Comment:
Kaivinkoneen päästö / tunti kerrottuna työhön menevällä tuntimäärällä.
KKH 21
https://co2data.fi/infra/#fi_id7100000855</t>
      </text>
    </comment>
    <comment ref="AK165" authorId="63" shapeId="0" xr:uid="{743CD06B-1A6B-49BA-B85D-8C4850D1442F}">
      <text>
        <t>[Threaded comment]
Your version of Excel allows you to read this threaded comment; however, any edits to it will get removed if the file is opened in a newer version of Excel. Learn more: https://go.microsoft.com/fwlink/?linkid=870924
Comment:
Kaivinkoneen päästö / tunti kerrottuna työhön menevällä tuntimäärällä.
KKH 21
https://co2data.fi/infra/#fi_id7100000855</t>
      </text>
    </comment>
    <comment ref="AK166" authorId="64" shapeId="0" xr:uid="{5435F8F4-9314-40EA-A11D-45AFF337214C}">
      <text>
        <t>[Threaded comment]
Your version of Excel allows you to read this threaded comment; however, any edits to it will get removed if the file is opened in a newer version of Excel. Learn more: https://go.microsoft.com/fwlink/?linkid=870924
Comment:
    AL solussa kaava, jossa 1000m jaettuna aurauksen / louhinnan / kaivun etenemisnopeudella (tunnissa).
KKH 21
https://co2data.fi/infra/#fi_id7100000855
Esim 1000m/200m/h = 5h, joka on kerrottuna kaivinkoneen tuntikohtaisella päästötiedolla.</t>
      </text>
    </comment>
    <comment ref="AK167" authorId="65" shapeId="0" xr:uid="{AFB1340E-EB0D-40AF-B492-99FAB1477382}">
      <text>
        <t>[Threaded comment]
Your version of Excel allows you to read this threaded comment; however, any edits to it will get removed if the file is opened in a newer version of Excel. Learn more: https://go.microsoft.com/fwlink/?linkid=870924
Comment:
    AL solussa kaava, jossa 1000m jaettuna aurauksen / louhinnan / kaivun etenemisnopeudella (tunnissa).
KKH 21
https://co2data.fi/infra/#fi_id7100000855
Esim 1000m/200m/h = 5h, joka on kerrottuna kaivinkoneen tuntikohtaisella päästötiedolla.</t>
      </text>
    </comment>
    <comment ref="AK168" authorId="66" shapeId="0" xr:uid="{78864A5A-DDD6-4190-9522-6164BD3699AC}">
      <text>
        <t>[Threaded comment]
Your version of Excel allows you to read this threaded comment; however, any edits to it will get removed if the file is opened in a newer version of Excel. Learn more: https://go.microsoft.com/fwlink/?linkid=870924
Comment:
    AI solussa kaava, jossa 1000m jaettuna  louhinnan sekä kaivun etenemisnopeudella (tunnissa).
KKH 21
https://co2data.fi/infra/#fi_id7100000855
Esim 1000m/10m/h = 100h, joka on kerrottuna kaivinkoneen tuntikohtaisella päästötiedolla.
Tässä on arvioitu louhinnan eteneminen ja pintamaan kaivuun eteneminen erikseen, jotka on summattuna.</t>
      </text>
    </comment>
    <comment ref="AK169" authorId="67" shapeId="0" xr:uid="{5543C497-0679-45AC-84C7-EB1349DD1A6D}">
      <text>
        <t>[Threaded comment]
Your version of Excel allows you to read this threaded comment; however, any edits to it will get removed if the file is opened in a newer version of Excel. Learn more: https://go.microsoft.com/fwlink/?linkid=870924
Comment:
    AL solussa kaava, jossa 1000m jaettuna aurauksen / louhinnan / kaivun etenemisnopeudella (tunnissa).
KKH 21
https://co2data.fi/infra/#fi_id7100000855
Esim 1000m/200m/h = 5h, joka on kerrottuna kaivinkoneen tuntikohtaisella päästötiedolla.</t>
      </text>
    </comment>
    <comment ref="AK170" authorId="68" shapeId="0" xr:uid="{0080DC85-AAD7-488E-9CEC-C07D8A2A1752}">
      <text>
        <t>[Threaded comment]
Your version of Excel allows you to read this threaded comment; however, any edits to it will get removed if the file is opened in a newer version of Excel. Learn more: https://go.microsoft.com/fwlink/?linkid=870924
Comment:
    AL solussa kaava, jossa 1000m jaettuna aurauksen / louhinnan / kaivun etenemisnopeudella (tunnissa).
KKH 21
https://co2data.fi/infra/#fi_id7100000855
Esim 1000m/200m/h = 5h, joka on kerrottuna kaivinkoneen tuntikohtaisella päästötiedolla.</t>
      </text>
    </comment>
    <comment ref="AK171" authorId="69" shapeId="0" xr:uid="{241149F3-A651-4D16-A117-95FE4596AAC4}">
      <text>
        <t>[Threaded comment]
Your version of Excel allows you to read this threaded comment; however, any edits to it will get removed if the file is opened in a newer version of Excel. Learn more: https://go.microsoft.com/fwlink/?linkid=870924
Comment:
    SYKE:n arvo 0,047 kg CO2e / kg (A1-A3) * hukkakerroin 1,05 (SYKE) * 100kg asfaltia / neliömetri. 
Asfaltin A1-A5 päästöjen jakautuminen, josta arvioitu kuljetus työmaalle (A4) ja levityksen (A5) osuudeksi kokonaisuudesta 20%.
https://omainfra.fi/media/doin1xg3/2-koskenranta.pdf</t>
      </text>
    </comment>
    <comment ref="AM179" authorId="70" shapeId="0" xr:uid="{5E76757E-C2D0-4B34-A286-6D6C3134AA15}">
      <text>
        <t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</t>
      </text>
    </comment>
    <comment ref="AM180" authorId="71" shapeId="0" xr:uid="{6EA01BAF-CFA3-4EA5-84B1-101D1DC2B68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81" authorId="72" shapeId="0" xr:uid="{C28AD3A5-AEC5-4586-9791-5E2AE70BE51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82" authorId="73" shapeId="0" xr:uid="{F535B0F8-7AAC-4E7A-B3AE-A4ECFFBCB0A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83" authorId="74" shapeId="0" xr:uid="{D314755E-4943-41F8-8577-960A8287473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AM189" authorId="75" shapeId="0" xr:uid="{FE6345EE-D4DB-4289-8608-56F6CD3B502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90" authorId="76" shapeId="0" xr:uid="{5594B4FF-827E-40E9-8E1C-903959A4572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91" authorId="77" shapeId="0" xr:uid="{C034FCA5-EA8F-44D8-86BC-FBA7C872A87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https://www.onninen.fi/utu-muuntamo-2-1-ral-7024-9005/p/CAK108</t>
      </text>
    </comment>
    <comment ref="AM192" authorId="78" shapeId="0" xr:uid="{B1DC89C0-9994-4B92-905E-BF919E542F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AM193" authorId="79" shapeId="0" xr:uid="{0CB6992A-6040-444E-8FB2-89C828CBE44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AM199" authorId="80" shapeId="0" xr:uid="{8AAB8295-EDE7-428C-A97B-FE92D53D46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https://www.rudus.fi/tuotteet/infraelementit/muuntamorakennukset/1718/puistomuuntamo?tab=tuote&amp;ProductId=4023
</t>
      </text>
    </comment>
    <comment ref="AM200" authorId="81" shapeId="0" xr:uid="{CED461C3-AE90-4ECC-BE21-59B7D457766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https://www.rudus.fi/tuotteet/infraelementit/muuntamorakennukset/1718/puistomuuntamo?tab=tuote&amp;ProductId=4023
</t>
      </text>
    </comment>
    <comment ref="AM204" authorId="82" shapeId="0" xr:uid="{44464293-9761-4179-B125-82E58B540ED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>
      </text>
    </comment>
    <comment ref="AM205" authorId="83" shapeId="0" xr:uid="{3252349C-0D94-467C-84C4-2DFD9E1A23D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https://www.rudus.fi/tuotteet/infraelementit/muuntamorakennukset/1718/puistomuuntamo?tab=tuote&amp;ProductId=4023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tc={A7B8EC90-2B79-4832-B970-237B9202C6F8}</author>
    <author>tc={F298CFE3-B9B2-48B3-8ECB-9B38B1B58418}</author>
    <author>tc={8B98216A-6C96-44F1-8A11-8F528151C345}</author>
    <author>tc={69E1BB64-7383-4027-9954-15DA15A2CD88}</author>
    <author>tc={EC7D3EFD-439D-4A60-8D35-351D6C0AE9D1}</author>
    <author>tc={F4A65356-7092-4FE6-80E8-223A1E137D54}</author>
    <author>tc={8A9B0722-BAFC-4157-82A6-D21DABD088E6}</author>
  </authors>
  <commentList>
    <comment ref="F1" authorId="0" shapeId="0" xr:uid="{A7B8EC90-2B79-4832-B970-237B9202C6F8}">
      <text>
        <t>[Threaded comment]
Your version of Excel allows you to read this threaded comment; however, any edits to it will get removed if the file is opened in a newer version of Excel. Learn more: https://go.microsoft.com/fwlink/?linkid=870924
Comment:
    Maanrakentajien kulkemisen arviointiin.</t>
      </text>
    </comment>
    <comment ref="H1" authorId="1" shapeId="0" xr:uid="{F298CFE3-B9B2-48B3-8ECB-9B38B1B58418}">
      <text>
        <t>[Threaded comment]
Your version of Excel allows you to read this threaded comment; however, any edits to it will get removed if the file is opened in a newer version of Excel. Learn more: https://go.microsoft.com/fwlink/?linkid=870924
Comment:
    Maanrakentajien kulkemisen arviointiin.</t>
      </text>
    </comment>
    <comment ref="K11" authorId="2" shapeId="0" xr:uid="{8B98216A-6C96-44F1-8A11-8F528151C34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https://stat.fi/artikkelit/2013/art_2013-12-09_003.html?s=4&amp;tulosta</t>
      </text>
    </comment>
    <comment ref="B16" authorId="3" shapeId="0" xr:uid="{69E1BB64-7383-4027-9954-15DA15A2CD8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Arvot co2data.fi
Pakettiauto (2,7 t), kantavuus 1,2 t, 0 % kuorma, maantieajo (238,81 g CO2e /km) ja 
Pakettiauto (2,7 t), kantavuus 1,2 t, 0 % kuorma, kaupunkiajo (299,16 g CO2e /km).
Keskiarvo, joka olettaa 15% kaupunkiajoa ja 85% maantieajoa.
</t>
      </text>
    </comment>
    <comment ref="B17" authorId="4" shapeId="0" xr:uid="{EC7D3EFD-439D-4A60-8D35-351D6C0AE9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Arvot co2data.fi
Pakettiauto (2,7 t), kantavuus 1,2 t, 0 % kuorma, maantieajo (238,81 g CO2e /km) ja 
Pakettiauto (2,7 t), kantavuus 1,2 t, 0 % kuorma, kaupunkiajo (299,16 g CO2e /km).
keskiarvo, joka olettaa 15% kaupunkiajoa ja 85% maantieajoa.
</t>
      </text>
    </comment>
    <comment ref="A25" authorId="5" shapeId="0" xr:uid="{F4A65356-7092-4FE6-80E8-223A1E137D54}">
      <text>
        <t>[Threaded comment]
Your version of Excel allows you to read this threaded comment; however, any edits to it will get removed if the file is opened in a newer version of Excel. Learn more: https://go.microsoft.com/fwlink/?linkid=870924
Comment:
    Oletuksena kuljetus kotimaiselta komponenttivalmistajalta (kaapeli, muuntamo) sähköverkkotyömaalle / urakan varastolle.</t>
      </text>
    </comment>
    <comment ref="A26" authorId="6" shapeId="0" xr:uid="{8A9B0722-BAFC-4157-82A6-D21DABD088E6}">
      <text>
        <t>[Threaded comment]
Your version of Excel allows you to read this threaded comment; however, any edits to it will get removed if the file is opened in a newer version of Excel. Learn more: https://go.microsoft.com/fwlink/?linkid=870924
Comment:
    Viereisen taulukon keskiarvojen mukaan arvioitu, että 90% maantieajoa ja 10% kaupunkiajoa. Keskiarvojen mukaan, koska mahdollisti hajontaa.
Oletuksena Täysperävaunuyhdistelmä (60t).
https://co2data.fi/infra/reports/INFRA%20kuljetukset%20R01.00.pdf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tc={6D41D929-EF11-4C7D-88EF-7B92D3EAB385}</author>
    <author>tc={12AF8A4D-4206-40B0-9098-87ED435EF6FE}</author>
    <author>tc={18CE8C86-A2B2-4E6B-ADB0-50DD7BD11B8C}</author>
    <author>tc={040C3926-4093-41C5-ADC8-DD8D9A7683B0}</author>
    <author>tc={418C7BBC-E510-49BD-A183-F3BE2B643C51}</author>
    <author>tc={48B8A116-2358-484F-9E14-34424796B3FA}</author>
    <author>tc={FD189176-19DF-4806-8876-57134FFCE0C2}</author>
    <author>tc={7EA3D575-114F-4F68-B647-A143637CE2B0}</author>
    <author>tc={8F2C1796-AC54-4C0C-A50D-37F96B74EAC1}</author>
    <author>tc={8204CFDB-8F4D-42AF-87EE-238F423A11FB}</author>
    <author>tc={ACFA18FE-6EA4-45FA-A837-2ED0C5B62F5D}</author>
    <author>tc={018A9171-73DB-4169-B52F-0DC06DA54AEE}</author>
    <author>tc={5AF9B7BA-2E68-4B65-8B71-841BCF2E3CA5}</author>
    <author>tc={7D644929-182D-4272-8705-2D17683CB0F5}</author>
    <author>tc={C5CE0635-7930-4D2B-8EDA-DA079B76B7C4}</author>
    <author>tc={9775AB31-B120-42BF-A8F9-1AEF43191807}</author>
    <author>tc={89292DF2-0288-47F6-96BE-F1EC2C7003A8}</author>
    <author>tc={FADE6840-CCB4-4DF2-B877-EC19E7DC2866}</author>
    <author>tc={305048E2-8DB2-4B86-AD5A-B318C2777F56}</author>
    <author>tc={E3840AD2-C1BE-4159-9988-772E1B7078A8}</author>
    <author>tc={9949E409-5C4C-47F0-81E2-5A64750AC6E5}</author>
    <author>tc={56B37FD6-7397-4426-B385-5FF7449EF99E}</author>
    <author>tc={16D46025-D985-41D5-8AB0-05A6DA64CF4A}</author>
    <author>tc={13F4A770-81C7-41FA-AAE6-5890DCF515CA}</author>
    <author>tc={4687C68F-57DD-4BE8-BD61-74F9E0598D38}</author>
    <author>tc={9AB5D296-7348-4AE8-B405-BB9FA6D8EA8E}</author>
    <author>tc={DC397E1E-3480-48BB-967E-8071E0453F56}</author>
    <author>tc={A7793467-56B1-4F5F-A431-93FE10C00DBC}</author>
    <author>tc={5165938D-6526-4DF1-9429-4B1EE00457CA}</author>
    <author>tc={D9C6F76E-5BB7-4CC0-A136-945373C21DAA}</author>
    <author>tc={608E9A5A-AFA9-4B2C-9A8A-368A8580BE57}</author>
    <author>tc={FE3A84BF-3577-42D2-B377-87DAC6F933D4}</author>
    <author>tc={56B6ADF9-AC9F-42FB-8BDA-11669DAF8A52}</author>
    <author>tc={4471527E-4497-4B2F-B929-841B81F87BB4}</author>
    <author>tc={98F53FEC-5364-44F9-AD40-8DFEA24D1C6C}</author>
    <author>tc={377F37D5-872B-45DF-B247-6AC3BAA01BC7}</author>
    <author>tc={07D0B9EC-389D-4AA6-B3EF-072095ABC62C}</author>
    <author>tc={A49F9E00-C44E-4322-A036-E73F9BAEF848}</author>
    <author>tc={9FF99B64-26BB-42FA-82B1-975E5464F48F}</author>
    <author>tc={AB108952-D1AB-4B85-AB30-A5582A14C64E}</author>
    <author>tc={60474D48-15B7-4479-8E2A-FF1D11EFA9EF}</author>
    <author>tc={8E7F4411-9ECF-46C1-B8C7-97B283F72A64}</author>
    <author>tc={D3C99791-4533-4E4C-A811-34F1875C9EDD}</author>
    <author>tc={99316321-926B-4F51-8634-615060264618}</author>
    <author>tc={C0DFEAA8-405D-48B0-AA8B-26CCB530C9F1}</author>
    <author>tc={8CF4DC0E-090A-4D41-BBCF-3F25E980C745}</author>
    <author>tc={31DF9DEA-F925-4BBC-9C7F-48A0276C7F18}</author>
    <author>tc={431B7405-0BE7-426F-9E7D-D96647B6318C}</author>
    <author>tc={FD939A2E-D45A-44EF-AB7F-9BF0DB064FE9}</author>
    <author>tc={5E697B0B-1DEA-418F-8891-D38F5A4DE3DD}</author>
    <author>tc={BB2B5D79-8DB1-4BA5-93AB-8B546CCE3F94}</author>
    <author>tc={1B1C2D54-AF97-46C1-9DCE-6B63CA80BDD3}</author>
    <author>tc={BFFDE114-8C21-4482-8839-BCB70406859B}</author>
    <author>tc={3FF5A7A3-95A8-4429-A617-D278F108C79C}</author>
    <author>tc={12F8A924-44BF-4D21-8FE5-328EBDD19C18}</author>
    <author>tc={9B995C6B-D79C-463F-8F30-67AC73852657}</author>
    <author>tc={2962A60E-43EE-42D1-BE5A-2248B8D0A3B6}</author>
    <author>tc={E838A680-C977-4085-B838-D4AC73D779A1}</author>
    <author>tc={943E425A-5A62-4096-85DA-E2D200A76C8A}</author>
    <author>tc={DC39DB05-06E4-492C-9A92-781F0D617FDB}</author>
    <author>tc={E189AA7B-9109-484F-A9CD-D9020FE99E8F}</author>
    <author>tc={5452D42F-4F56-4203-A158-C721F5B25D15}</author>
    <author>tc={CA21D2D0-AD4B-4979-B0EA-E1DE95BEC236}</author>
    <author>tc={FDAD8772-6902-4EAB-AE03-97D24C47FC78}</author>
    <author>tc={ACF6BDFF-1151-42BD-8C26-03E96EF13F63}</author>
    <author>tc={1E63356B-8BEC-40F5-AB64-789B242D9568}</author>
    <author>tc={89CF4BB9-F34E-4891-A7C8-A9034DDCE493}</author>
    <author>tc={8276FD81-68A6-4931-A4F1-4DC9E3FE2BE1}</author>
    <author>tc={88F7B47D-1AE3-40B1-AA5F-355D74148FE5}</author>
    <author>tc={4EDABB08-1F30-4CF2-8CF9-0846A8BF52D1}</author>
    <author>tc={66400FAE-1493-4BD9-9B12-2F5CF3F57809}</author>
    <author>tc={A30BB7C0-988C-4068-A6EB-55844C549730}</author>
    <author>tc={D68A9801-E2A2-4DC3-BA26-5A4692373D44}</author>
    <author>tc={AFC7A7F1-D1BC-4351-AE3C-7158073E4BC1}</author>
    <author>tc={C8A5D5A1-C11F-47BB-BF31-B43863E8B0B0}</author>
    <author>tc={C67414E6-E5DB-40C0-89FD-0EDBA1F18CC6}</author>
    <author>tc={4583BBB7-2B90-462B-BC7D-7A57B60422F7}</author>
    <author>tc={0CBC6E27-B5C8-45AA-B722-3D82BBF453BE}</author>
    <author>tc={CE41396A-1915-4911-8E90-DE15BC3092A6}</author>
    <author>tc={B0A586F3-4EB9-46ED-8479-C89A9581BE83}</author>
    <author>tc={ED17F02A-46B8-4830-9D4D-6222F4337F8C}</author>
    <author>tc={D9A2EB93-5B3F-4D52-AEFD-D89B81626AEC}</author>
    <author>tc={23C9877B-ADE7-4F15-B46B-345C2B90F3E9}</author>
    <author>tc={FEB68C97-6460-4F56-861A-677957D67726}</author>
    <author>tc={17B3A52E-402E-4CD2-B046-38776711C4AB}</author>
    <author>tc={7DEFA63A-BAE4-4326-8864-A2890A16164A}</author>
    <author>tc={E13DA6E4-B0E8-44E7-B85B-913722F26B37}</author>
    <author>tc={C9793C8A-59F9-4CE4-96C0-0F086529F27F}</author>
    <author>tc={7F69FC8C-3F81-46F1-8E78-F6F7977F1188}</author>
    <author>tc={8C60A718-C2BE-45A1-9E7C-2A9C7A007761}</author>
    <author>tc={813AD1C7-5E2D-4723-892D-CFE8F091183F}</author>
    <author>tc={A388514D-DB63-4103-800D-E1A415411D71}</author>
    <author>tc={D39DB686-EA84-4176-A793-C6F9796088C0}</author>
    <author>tc={C0041FC8-8976-4D13-B84F-F37880963DF1}</author>
    <author>tc={7E7E2DAD-86E4-4AAE-ABE8-6535AA61D49C}</author>
    <author>tc={9D82BB60-07A7-4976-B78A-C3FD49EEAE70}</author>
    <author>tc={36C34FB6-D08E-4723-9329-244E74067C55}</author>
    <author>tc={AAD0C19E-00C2-42EF-AC49-52A78310AF52}</author>
    <author>tc={22A22630-4142-40B2-B9C0-12547BA1E6B9}</author>
    <author>tc={0EA02344-0B60-44EC-A615-3577FFBF4F9A}</author>
    <author>tc={6871EFE6-D5D7-4723-B92A-26E2C2825E43}</author>
    <author>tc={A7063C32-1CFD-4FA4-AB03-3DE3B5AC12D2}</author>
    <author>tc={76FB9E64-2665-4008-B1FC-36D8CBC043B7}</author>
    <author>tc={561CE051-C1E0-4F27-BF26-1EDD62F74E66}</author>
    <author>tc={1E360648-0C14-4C5B-97C7-3D4A4751688C}</author>
    <author>tc={FC616BD2-7714-422D-BA56-F20DEA48A226}</author>
    <author>tc={EAE68BDA-BD80-4C0D-933C-FD7E27B8FCD7}</author>
    <author>tc={CA00C7A8-20E2-460C-A1CD-0B78E16B63D1}</author>
    <author>tc={6938E038-80B7-4376-82E3-92DF39D8A379}</author>
    <author>tc={CBD5EC34-F0CF-4396-9F84-33E4010C3EE0}</author>
    <author>tc={60544CF0-D26A-439A-A6A7-B92E27F53F40}</author>
    <author>tc={4E3FB629-EDA0-4780-B5EC-ABF84B39E291}</author>
    <author>tc={357DBB92-A2B6-424D-91EA-2AAE8921C403}</author>
    <author>tc={1E85C5AE-12F2-44DB-B8FC-DAF22290C54C}</author>
    <author>tc={AF4E30B0-291F-45E5-8F86-7A98190C9E1D}</author>
    <author>tc={DEE413B1-B2BC-4642-AC81-9963327B973D}</author>
    <author>tc={B45D74DB-5CF7-45E1-B506-7A625896D855}</author>
    <author>tc={A5641A32-BBCE-43AC-86B0-5DA4C05554F3}</author>
    <author>tc={49290F4B-1E63-427B-8D60-3CD23E71D780}</author>
    <author>tc={AEE7892E-502C-479F-9745-134B98F6DBA9}</author>
    <author>tc={0257A4FF-5353-429B-AF42-1D93D9A59FA0}</author>
    <author>tc={173A57DC-192F-4D20-B254-6A055980A2AB}</author>
    <author>tc={C910DA35-7DE9-4AE9-B094-5FC35D546BED}</author>
    <author>tc={E559D053-1ADB-46B9-96A9-42D18D302BAC}</author>
    <author>tc={8BFF26F5-ECF0-4B2F-97B2-86D1514D0923}</author>
    <author>tc={6374AACA-C24D-4C96-BC8A-B13B862853BD}</author>
    <author>tc={C6B5094B-F223-4D08-8E90-2ED93FC1CA41}</author>
    <author>tc={32E98694-8DA1-4981-91BC-31D1A59077A0}</author>
    <author>tc={99BD6792-C55C-480E-A1ED-899DC6AB586D}</author>
    <author>tc={56572072-6E8E-4451-95B6-F65839FFE6F3}</author>
    <author>tc={0B8DFA86-4DF3-427B-B3B2-3EC0B3C1D5DA}</author>
    <author>tc={6D538662-BBAD-46B0-8033-0EE7801004DE}</author>
    <author>tc={FE07717F-C0F6-40A6-AA1F-9842C286A450}</author>
    <author>tc={9EDA827B-BE93-4A39-B411-08A99D771666}</author>
    <author>tc={3880B843-9188-49E1-8791-E6469305449E}</author>
    <author>tc={4651BE04-D3E3-4962-ADC2-DE43A58BD328}</author>
    <author>tc={C662CAEE-8A8F-4C3B-A376-C7DAC59CBD80}</author>
    <author>tc={25656623-E45A-4B57-A879-DBD6EC341B22}</author>
    <author>tc={3AB9CE55-4604-45C7-B3C0-8825F853521E}</author>
    <author>tc={83A7836E-8A15-459F-8FD5-C04CFB6FF7C9}</author>
    <author>tc={F8BAB722-6A93-48CD-9814-B27C8BE015D5}</author>
    <author>tc={40F22620-CCA2-4F58-A723-EA6649CE16CA}</author>
    <author>tc={C3310AB2-9CB1-42B5-8CAA-3FF049A65B09}</author>
    <author>tc={9C2BD9E6-EF8E-4197-B6B8-CB13425623B6}</author>
    <author>tc={EDD405B8-95A6-4E04-A870-DBA6186D22EA}</author>
    <author>tc={AAF670C6-6CC6-4665-97FF-31E2F57BE7A7}</author>
    <author>tc={08B672EE-F039-4406-9715-50BF7365ECFA}</author>
    <author>tc={F4E47470-75AD-4DB1-B8AE-6F61A31A6263}</author>
    <author>tc={E0A1DA41-8367-4B8D-B06A-67F9E741340F}</author>
    <author>tc={DD6CBC97-14A2-407E-B877-4DDD2692593B}</author>
    <author>tc={0E1D2815-A3B8-4F40-93BF-3102320F0B2F}</author>
    <author>tc={A8076D37-FA8B-4597-8E7B-A6EB637A4C81}</author>
    <author>tc={C3B02B00-D33E-4291-9F9F-65E125640832}</author>
    <author>tc={3D3CE3E5-F9E4-42D3-A397-DBEF2CDC8BAF}</author>
    <author>tc={CDDE684B-7E73-4519-952E-2445ED90DAE6}</author>
    <author>tc={E9BFCF21-0172-42F2-972D-6F6DAE316C15}</author>
    <author>tc={3DBF1155-2536-44F2-BDC9-F01BC154B39B}</author>
    <author>tc={6C483EB5-6920-4631-A2C8-A92014C6FB67}</author>
    <author>tc={14C15E1A-EC9F-4B31-8B32-26F16E5F11AF}</author>
    <author>tc={21CCE721-D817-46B0-A700-DA5A17478B96}</author>
    <author>tc={2977CFAB-084E-4D88-917B-FC9B6E591289}</author>
    <author>tc={0E8D89E0-8D10-4AE2-89BC-340E7EBF1C2B}</author>
    <author>tc={BEF87C97-C718-460E-93F7-42B63C39AD60}</author>
    <author>tc={0BE6E32C-3355-42BC-94CD-0A77F59CC604}</author>
    <author>tc={28F44C24-88AF-4C2F-9512-C647966FF5A6}</author>
    <author>tc={453BA425-FF50-488F-A895-C25BF711C806}</author>
    <author>tc={4BF6EB4D-BA08-40ED-9C1F-67900F06993C}</author>
    <author>tc={746B93F3-604D-46D9-BA27-79C7DF85AB40}</author>
    <author>tc={884BD432-2A26-4E01-9F68-2FACAD2448F3}</author>
    <author>tc={A886C7D2-4616-497E-878E-DDACC0E8DC10}</author>
    <author>tc={32D2D53C-310B-4104-825E-7C00954A8D36}</author>
    <author>tc={F938EF95-E0F3-4D2E-9C7B-C67922C90131}</author>
    <author>tc={6BC562B1-20B2-4167-8C72-F4FE9E7A1CF5}</author>
    <author>tc={75A24DC5-44AC-4359-8D6D-2A7728175112}</author>
    <author>tc={01254F56-E861-4C81-BB0C-0AEF2B39CC14}</author>
    <author>tc={022C5849-0DAA-4402-9EFA-1506E62ED5B1}</author>
    <author>tc={6AFF14F6-76F2-42E0-8318-7411B99C3F6B}</author>
    <author>tc={8A7F4773-0322-4258-ABDA-7EF47AC8B255}</author>
    <author>tc={F61BF9EE-2D82-4F2F-A3CC-1CB5F24236F6}</author>
    <author>tc={7006257D-6D0F-4D7C-B194-9F297B696E37}</author>
    <author>tc={8EBDDDE1-BCD4-434E-8E78-D68CB54A1AFC}</author>
    <author>tc={10693F73-EB5C-41E6-8BC6-8D25892534A8}</author>
    <author>tc={C1B1C941-F4DF-45A7-973F-337892A2D84F}</author>
    <author>tc={F41F82DB-9C41-49F4-84C1-BE9C7A39D83F}</author>
    <author>tc={863FA541-A320-48AC-B309-25C79D09B70F}</author>
    <author>tc={4E865203-0B8C-44BF-AB9F-DBD0E0B7ACC8}</author>
    <author>tc={1AF285E5-9A6C-460A-BE1D-8A01FA1950B4}</author>
    <author>tc={393610B3-0201-425D-A84B-B1C22EB57174}</author>
    <author>tc={509744E1-EAB8-4750-808F-396E21D22D8E}</author>
    <author>tc={BE8D7251-B276-4E72-861B-8A7ED9AF1C65}</author>
    <author>tc={E2B32436-3992-4E81-9AEA-E040BEFFE683}</author>
    <author>tc={02F093D3-AC57-4BEE-A7EE-97CE78581BE4}</author>
    <author>tc={CB7755CD-A54E-44DF-9EC8-FE86310654DC}</author>
    <author>tc={C3C949BA-ED5F-4643-8E34-71F3C4D25471}</author>
    <author>tc={DE310EBF-7D41-45AE-BB6A-27611EDDCCBE}</author>
    <author>tc={D5EAB486-0F16-49FF-A426-CF9DECEAD756}</author>
    <author>tc={E8150875-7AB4-4CDE-B129-B0210BF7F814}</author>
    <author>tc={D16F8DE6-0E12-4CC3-9D01-5D31F581DA3D}</author>
    <author>tc={CA064B73-A732-4E13-A3FB-C8211BD00FF1}</author>
    <author>tc={75049278-2DEC-4A9E-9576-8C27365FC514}</author>
    <author>tc={42FBA29C-267D-496C-BA79-B5A90C09E4E7}</author>
    <author>tc={D765CCC7-30F5-4A05-B398-D488FF5BD9B7}</author>
    <author>tc={80B87727-94A0-4A36-8CCD-42E761613AAE}</author>
    <author>tc={89B769D6-DE76-4574-8D05-DA0F019568CC}</author>
    <author>tc={B2C822A3-7D83-43AE-8FC5-39E6CA2B8BFF}</author>
    <author>tc={C1266AED-D5A2-48A4-A13D-40ABC75663D1}</author>
    <author>tc={EDAAEFB1-A061-437B-AF65-17121B876BCE}</author>
    <author>tc={3AC9761E-B440-415A-99D1-C78CAAF9DBF5}</author>
    <author>tc={25D5B3E8-A407-4733-8CD9-525DB9D4ABC4}</author>
    <author>tc={6CA46CE6-A237-43C6-86B9-685607EE4EE8}</author>
    <author>tc={59E01925-7CDF-4E14-8B20-30C42BD7EAF3}</author>
    <author>tc={DDBE1C24-BA40-4B88-8B8D-4316E6172A6E}</author>
    <author>tc={B2ABF474-2419-44D7-AB07-3A6FD60D6168}</author>
    <author>tc={D894739C-ACC0-4C57-A556-C9B2926C4C0B}</author>
    <author>tc={D8B7BDE4-ECF6-46A9-8FB6-8E59798B9B1B}</author>
    <author>tc={63AAABBB-C5DE-4449-BC66-B7D2E4DDE106}</author>
    <author>tc={A151A78B-FC26-4B94-BF5A-B15D8AE801A6}</author>
    <author>tc={F63E072E-620B-4A7B-9E05-C33F3AF3B04C}</author>
    <author>tc={9C3F687F-BF2C-4390-9B3C-A20CF597EE33}</author>
    <author>tc={5E43566B-B21F-4928-8208-FF7B9D7B4396}</author>
    <author>tc={76367733-7241-441E-8A19-328806F71491}</author>
    <author>tc={775C3DB6-8B0B-4C80-BB1E-E17D2AFBA11D}</author>
    <author>tc={34395F70-BEA4-4933-B93D-DB92E1CF284B}</author>
    <author>tc={091345DB-D3AF-4537-A10A-2323568D9221}</author>
    <author>tc={A7F1FD4F-335A-409D-949F-03ECA82C217B}</author>
    <author>tc={51C4FFE7-D261-4B43-A9D8-9BA82B85A629}</author>
    <author>tc={605535B9-D11B-4D66-AA20-638571F7AD33}</author>
    <author>tc={9A9451ED-C789-4427-8D2B-4CBDF67B1966}</author>
    <author>tc={1D6EA535-D997-4BED-A124-6B35D985824D}</author>
  </authors>
  <commentList>
    <comment ref="C7" authorId="0" shapeId="0" xr:uid="{6D41D929-EF11-4C7D-88EF-7B92D3EAB38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https://www.environdec.com/library/epd1806
</t>
      </text>
    </comment>
    <comment ref="C8" authorId="1" shapeId="0" xr:uid="{12AF8A4D-4206-40B0-9098-87ED435EF6F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https://www.environdec.com/library/epd1903</t>
      </text>
    </comment>
    <comment ref="C9" authorId="2" shapeId="0" xr:uid="{18CE8C86-A2B2-4E6B-ADB0-50DD7BD11B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https://www.environdec.com/library/epd1805
</t>
      </text>
    </comment>
    <comment ref="C10" authorId="3" shapeId="0" xr:uid="{040C3926-4093-41C5-ADC8-DD8D9A7683B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https://www.environdec.com/library/epd3244</t>
      </text>
    </comment>
    <comment ref="C11" authorId="4" shapeId="0" xr:uid="{418C7BBC-E510-49BD-A183-F3BE2B643C5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https://www.environdec.com/library/epd3244</t>
      </text>
    </comment>
    <comment ref="D15" authorId="5" shapeId="0" xr:uid="{48B8A116-2358-484F-9E14-34424796B3F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https://datasheet.prysmian.com/pdf/datasheet/fi-FI/329126/FI00_ACSR</t>
      </text>
    </comment>
    <comment ref="C28" authorId="6" shapeId="0" xr:uid="{FD189176-19DF-4806-8876-57134FFCE0C2}">
      <text>
        <t>[Threaded comment]
Your version of Excel allows you to read this threaded comment; however, any edits to it will get removed if the file is opened in a newer version of Excel. Learn more: https://go.microsoft.com/fwlink/?linkid=870924
Comment:
    Sivu 20
https://trepo.tuni.fi/bitstream/handle/10024/149847/HatakkaKristian.pdf?sequence=2&amp;isAllowed=y</t>
      </text>
    </comment>
    <comment ref="C32" authorId="7" shapeId="0" xr:uid="{7EA3D575-114F-4F68-B647-A143637CE2B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https://omainfra.fi/media/doin1xg3/2-koskenranta.pdf</t>
      </text>
    </comment>
    <comment ref="D41" authorId="8" shapeId="0" xr:uid="{8F2C1796-AC54-4C0C-A50D-37F96B74EAC1}">
      <text>
        <t>[Threaded comment]
Your version of Excel allows you to read this threaded comment; however, any edits to it will get removed if the file is opened in a newer version of Excel. Learn more: https://go.microsoft.com/fwlink/?linkid=870924
Comment:
    Sivu 46 ja 65
https://ava.vaylapilvi.fi/ava/Julkaisut/Vaylavirasto/Opas_2022-3_paallystettyjen_teiden_korjaus.pdf
Toinen lähde
https://asfalttitieto.fi/tietoa-asfaltista/asfaltin-paino/</t>
      </text>
    </comment>
    <comment ref="C57" authorId="9" shapeId="0" xr:uid="{8204CFDB-8F4D-42AF-87EE-238F423A11F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https://www.epd-norge.no/getfile.php/1348746-1705320910/EPDer/Byggevarer/NEPD-5473-4764_NAL-----MV-indoor-air-switch-disconnector.pdf</t>
      </text>
    </comment>
    <comment ref="C58" authorId="10" shapeId="0" xr:uid="{ACFA18FE-6EA4-45FA-A837-2ED0C5B62F5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https://www.epd-norge.no/getfile.php/1330874-1678460277/EPDer/Byggevarer/NEPD-4223-3461_Medium-voltage-tripolar-circuit-breaker--VD4-R-240620-.pdf</t>
      </text>
    </comment>
    <comment ref="C59" authorId="11" shapeId="0" xr:uid="{018A9171-73DB-4169-B52F-0DC06DA54AE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https://www.epd-norge.no/epder/bygg/elektroniske-og-elektriske-komponenter-kabler-produkter/medium-voltage-tripolar-circuit-breaker-vd4-p-24-06-25-vd4</t>
      </text>
    </comment>
    <comment ref="H68" authorId="12" shapeId="0" xr:uid="{5AF9B7BA-2E68-4B65-8B71-841BCF2E3CA5}">
      <text>
        <t>[Threaded comment]
Your version of Excel allows you to read this threaded comment; however, any edits to it will get removed if the file is opened in a newer version of Excel. Learn more: https://go.microsoft.com/fwlink/?linkid=870924
Comment:
    Ei sisällä harusköyden päätettä, harusmerkkisarjaa</t>
      </text>
    </comment>
    <comment ref="I71" authorId="13" shapeId="0" xr:uid="{7D644929-182D-4272-8705-2D17683CB0F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Teräsköysi 25 mm2 (harusköysi) 
Metriä kohden
Sivu 30
https://co2data.fi/infra/reports/INFRA%20ter%C3%A4stuotteet%20R01.05.pdf
</t>
      </text>
    </comment>
    <comment ref="F72" authorId="14" shapeId="0" xr:uid="{C5CE0635-7930-4D2B-8EDA-DA079B76B7C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https://www.ensto.com/fi/sahkoverkonrakennus/tuotteet/keskijanniteratkaisut-ja-verkostoautomaatio/ilmajohtotarvikkeet/pylvastarvikkeet/chk25.1/</t>
      </text>
    </comment>
    <comment ref="H72" authorId="15" shapeId="0" xr:uid="{9775AB31-B120-42BF-A8F9-1AEF431918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73" authorId="16" shapeId="0" xr:uid="{89292DF2-0288-47F6-96BE-F1EC2C7003A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https://www.onninen.fi/onnline-haruslaatta-hl-43/p/AAK130?term=haruslaatta
Otin onniselta haruslaattojen painot, koska saman sarjan HL60 laatan paino oli STK:lla 86kg, jota en usko, että painaa niin paljoa. Ja STK:lla ei ollut HL43:sta painoa.
Onnisen tiedot vaikuttivat luotettavammilta.</t>
      </text>
    </comment>
    <comment ref="H73" authorId="17" shapeId="0" xr:uid="{FADE6840-CCB4-4DF2-B877-EC19E7DC286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
betonikaivo, päällyskansi, umpikansi Ø = 600 mm, h = 40 mm 
0,15 kg CO2e / kg
Valitsen tämän arvon, koska sivulla
https://www.jakobetoni.fi/betonituotteet/haruslaatat
https://www.jakobetoni.fi/tiedostot/dop-jakobetoni.pdf
Ladattavan tiedoston mukaan saa käsityksen, että samaa betonilaatua käytetään haruslaatoissa, kuin betonisissa kaivonkansissa.
Ja SYKE:n tietokannasta löytyi tuo kaivonkannen päästötieto.
</t>
      </text>
    </comment>
    <comment ref="F74" authorId="18" shapeId="0" xr:uid="{305048E2-8DB2-4B86-AD5A-B318C2777F5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https://www.ensto.com/fi/sahkoverkonrakennus/tuotteet/pienjanniteratkaisut/ilmajohtotarvikkeet/pylvastarvikkeet/sh81/</t>
      </text>
    </comment>
    <comment ref="H74" authorId="19" shapeId="0" xr:uid="{E3840AD2-C1BE-4159-9988-772E1B7078A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75" authorId="20" shapeId="0" xr:uid="{9949E409-5C4C-47F0-81E2-5A64750AC6E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https://www.ensto.com/fi/sahkoverkonrakennus/tuotteet/pienjanniteratkaisut/ilmajohtotarvikkeet/pylvastarvikkeet/sh525.1/</t>
      </text>
    </comment>
    <comment ref="H75" authorId="21" shapeId="0" xr:uid="{56B37FD6-7397-4426-B385-5FF7449EF99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78" authorId="22" shapeId="0" xr:uid="{16D46025-D985-41D5-8AB0-05A6DA64CF4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https://www.onninen.fi/prof-nelioaluslevy-prof-din436-m16-kuumasinkitty-25kpl/p/CMG978
</t>
      </text>
    </comment>
    <comment ref="I78" authorId="23" shapeId="0" xr:uid="{13F4A770-81C7-41FA-AAE6-5890DCF515C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I82" authorId="24" shapeId="0" xr:uid="{4687C68F-57DD-4BE8-BD61-74F9E0598D38}">
      <text>
        <t>[Threaded comment]
Your version of Excel allows you to read this threaded comment; however, any edits to it will get removed if the file is opened in a newer version of Excel. Learn more: https://go.microsoft.com/fwlink/?linkid=870924
Comment:
    Ei sisällä harusköyden päätettä, harusmerkkisarjaa</t>
      </text>
    </comment>
    <comment ref="I85" authorId="25" shapeId="0" xr:uid="{9AB5D296-7348-4AE8-B405-BB9FA6D8EA8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Teräsköysi 25 mm2 (harusköysi) 
Metriä kohden
Sivu 30
https://co2data.fi/infra/reports/INFRA%20ter%C3%A4stuotteet%20R01.05.pdf
</t>
      </text>
    </comment>
    <comment ref="F86" authorId="26" shapeId="0" xr:uid="{DC397E1E-3480-48BB-967E-8071E0453F5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https://www.ensto.com/fi/sahkoverkonrakennus/tuotteet/keskijanniteratkaisut-ja-verkostoautomaatio/ilmajohtotarvikkeet/pylvastarvikkeet/chk25.1/</t>
      </text>
    </comment>
    <comment ref="H86" authorId="27" shapeId="0" xr:uid="{A7793467-56B1-4F5F-A431-93FE10C00DB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87" authorId="28" shapeId="0" xr:uid="{5165938D-6526-4DF1-9429-4B1EE00457C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https://www.onninen.fi/onnline-haruslaatta-hl-43/p/AAK130?term=haruslaatta
Otin onniselta haruslaattojen painot, koska saman sarjan HL60 laatan paino oli STK:lla 86kg, jota en usko, että painaa niin paljoa. Ja STK:lla ei ollut HL43:sta painoa.
Onnisen tiedot vaikuttivat luotettavammilta.</t>
      </text>
    </comment>
    <comment ref="H87" authorId="29" shapeId="0" xr:uid="{D9C6F76E-5BB7-4CC0-A136-945373C21DA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
betonikaivo, päällyskansi, umpikansi Ø = 600 mm, h = 40 mm 
0,15 kg CO2e / kg
Valitsen tämän arvon, koska sivulla
https://www.jakobetoni.fi/betonituotteet/haruslaatat
https://www.jakobetoni.fi/tiedostot/dop-jakobetoni.pdf
Ladattavan tiedoston mukaan saa käsityksen, että samaa betonilaatua käytetään haruslaatoissa, kuin betonisissa kaivonkansissa.
Ja SYKE:n tietokannasta löytyi tuo kaivonkannen päästötieto.
</t>
      </text>
    </comment>
    <comment ref="F88" authorId="30" shapeId="0" xr:uid="{608E9A5A-AFA9-4B2C-9A8A-368A8580BE5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https://www.sahkonumerot.fi/5010526</t>
      </text>
    </comment>
    <comment ref="H88" authorId="31" shapeId="0" xr:uid="{FE3A84BF-3577-42D2-B377-87DAC6F933D4}">
      <text>
        <t>[Threaded comment]
Your version of Excel allows you to read this threaded comment; however, any edits to it will get removed if the file is opened in a newer version of Excel. Learn more: https://go.microsoft.com/fwlink/?linkid=870924
Comment:
    Posliinin valmistuksen päästötieto.
https://www.climatiq.io/data/emission-factor/9f2508be-4752-42be-84cc-09406ec2057e</t>
      </text>
    </comment>
    <comment ref="F89" authorId="32" shapeId="0" xr:uid="{56B6ADF9-AC9F-42FB-8BDA-11669DAF8A5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https://www.ensto.com/fi/sahkoverkonrakennus/tuotteet/pienjanniteratkaisut/ilmajohtotarvikkeet/pylvastarvikkeet/sh81/</t>
      </text>
    </comment>
    <comment ref="H89" authorId="33" shapeId="0" xr:uid="{4471527E-4497-4B2F-B929-841B81F87B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90" authorId="34" shapeId="0" xr:uid="{98F53FEC-5364-44F9-AD40-8DFEA24D1C6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https://www.sahkonumerot.fi/5021339</t>
      </text>
    </comment>
    <comment ref="H90" authorId="35" shapeId="0" xr:uid="{377F37D5-872B-45DF-B247-6AC3BAA01B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93" authorId="36" shapeId="0" xr:uid="{07D0B9EC-389D-4AA6-B3EF-072095ABC62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https://www.onninen.fi/prof-nelioaluslevy-prof-din436-m16-kuumasinkitty-25kpl/p/CMG978
</t>
      </text>
    </comment>
    <comment ref="I93" authorId="37" shapeId="0" xr:uid="{A49F9E00-C44E-4322-A036-E73F9BAEF8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D99" authorId="38" shapeId="0" xr:uid="{9FF99B64-26BB-42FA-82B1-975E5464F48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https://search.abb.com/library/Download.aspx?DocumentID=MJS_ZLBM1FI%2017-10&amp;LanguageCode=fi&amp;DocumentPartId=&amp;Action=Launch</t>
      </text>
    </comment>
    <comment ref="C100" authorId="39" shapeId="0" xr:uid="{AB108952-D1AB-4B85-AB30-A5582A14C64E}">
      <text>
        <t>[Threaded comment]
Your version of Excel allows you to read this threaded comment; however, any edits to it will get removed if the file is opened in a newer version of Excel. Learn more: https://go.microsoft.com/fwlink/?linkid=870924
Comment:
    A sarakkeessa HeadPower:n rakennekuvista tuotenimikkeet.
Lähimmät vastaavat tuotteet linkinstä
(ABB MJS-kaapelijakokaapit tuoteluettelo 2019)
https://search.abb.com/library/Download.aspx?DocumentID=MJS_ZLBM1FI%2017-10&amp;LanguageCode=fi&amp;DocumentPartId=&amp;Action=Launch
RAJAUS:
Varustetun kaapin lisävarusteet on rajattu saman materiaalin sisään. Sisältöä ei ole erikseen yksilöity. Materiaalin kuumasinkitty teräslevy. Kerroinsolun kommenteissa lisätietoa.</t>
      </text>
    </comment>
    <comment ref="F100" authorId="40" shapeId="0" xr:uid="{60474D48-15B7-4479-8E2A-FF1D11EFA9E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MJS kaappi, kuumasinkitty teräs, pulverimaalattu JALUSTAN paino sisältyy sarakkeen lukuun
Valmistajan tiedoissa korkeudesta riippumatta (1200 tai 850) paino ilmoitetaan samaksi. En ota kantaa onko lukemissa virhe valmistajan toimesta.
https://search.abb.com/library/Download.aspx?DocumentID=MJS_ZLBM1FI%2017-10&amp;LanguageCode=fi&amp;DocumentPartId=&amp;Action=Launch
</t>
      </text>
    </comment>
    <comment ref="G100" authorId="41" shapeId="0" xr:uid="{8E7F4411-9ECF-46C1-B8C7-97B283F72A64}">
      <text>
        <t>[Threaded comment]
Your version of Excel allows you to read this threaded comment; however, any edits to it will get removed if the file is opened in a newer version of Excel. Learn more: https://go.microsoft.com/fwlink/?linkid=870924
Comment:
    MJS kaappi, kuumasinkitty teräs, pulverimaalattu.
Varustettu kokoojakiskoilla ja sektoriavainlukolla
JALUSTAN paino sisältyy sarakkeen lukuun
https://search.abb.com/library/Download.aspx?DocumentID=MJS_ZLBM1FI%2017-10&amp;LanguageCode=fi&amp;DocumentPartId=&amp;Action=Launch</t>
      </text>
    </comment>
    <comment ref="H100" authorId="42" shapeId="0" xr:uid="{D3C99791-4533-4E4C-A811-34F1875C9ED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MJS jalusta, kuumasinkitty teräs, pulverimaalattu
https://search.abb.com/library/Download.aspx?DocumentID=MJS_ZLBM1FI%2017-10&amp;LanguageCode=fi&amp;DocumentPartId=&amp;Action=Launch
</t>
      </text>
    </comment>
    <comment ref="I100" authorId="43" shapeId="0" xr:uid="{99316321-926B-4F51-8634-615060264618}">
      <text>
        <t>[Threaded comment]
Your version of Excel allows you to read this threaded comment; however, any edits to it will get removed if the file is opened in a newer version of Excel. Learn more: https://go.microsoft.com/fwlink/?linkid=870924
Comment:
    Teräslevy katteisiin ja seiniin, kuumasinkitty, maalattu tai maalaamaton tai COR-TEN pinnalle 
Tyypllinen arvo (A1-A3)
2.6 kg CO2e /kg
https://co2data.fi/infra/</t>
      </text>
    </comment>
    <comment ref="J100" authorId="44" shapeId="0" xr:uid="{C0DFEAA8-405D-48B0-AA8B-26CCB530C9F1}">
      <text>
        <t>[Threaded comment]
Your version of Excel allows you to read this threaded comment; however, any edits to it will get removed if the file is opened in a newer version of Excel. Learn more: https://go.microsoft.com/fwlink/?linkid=870924
Comment:
    JALUSTALLA</t>
      </text>
    </comment>
    <comment ref="K100" authorId="45" shapeId="0" xr:uid="{8CF4DC0E-090A-4D41-BBCF-3F25E980C745}">
      <text>
        <t>[Threaded comment]
Your version of Excel allows you to read this threaded comment; however, any edits to it will get removed if the file is opened in a newer version of Excel. Learn more: https://go.microsoft.com/fwlink/?linkid=870924
Comment:
    JALUSTALLA</t>
      </text>
    </comment>
    <comment ref="D112" authorId="46" shapeId="0" xr:uid="{31DF9DEA-F925-4BBC-9C7F-48A0276C7F18}">
      <text>
        <t>[Threaded comment]
Your version of Excel allows you to read this threaded comment; however, any edits to it will get removed if the file is opened in a newer version of Excel. Learn more: https://go.microsoft.com/fwlink/?linkid=870924
Comment:
    Kabeldon
https://www.sahkonumerot.fi/5451202</t>
      </text>
    </comment>
    <comment ref="D114" authorId="47" shapeId="0" xr:uid="{431B7405-0BE7-426F-9E7D-D96647B6318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https://slofiles.blob.core.windows.net/pimfiles1/PDF/catalogue_9754400.pdf</t>
      </text>
    </comment>
    <comment ref="C115" authorId="48" shapeId="0" xr:uid="{FD939A2E-D45A-44EF-AB7F-9BF0DB064FE9}">
      <text>
        <t>[Threaded comment]
Your version of Excel allows you to read this threaded comment; however, any edits to it will get removed if the file is opened in a newer version of Excel. Learn more: https://go.microsoft.com/fwlink/?linkid=870924
Comment:
    A sarakkeessa HeadPowerin rakennekuvista nimikkeet.
Lähimmät vastaavat tuotteet Steralta</t>
      </text>
    </comment>
    <comment ref="F115" authorId="49" shapeId="0" xr:uid="{5E697B0B-1DEA-418F-8891-D38F5A4DE3DD}">
      <text>
        <t>[Threaded comment]
Your version of Excel allows you to read this threaded comment; however, any edits to it will get removed if the file is opened in a newer version of Excel. Learn more: https://go.microsoft.com/fwlink/?linkid=870924
Comment:
    Alumiinia
https://slofiles.blob.core.windows.net/pimfiles1/PDF/catalogue_9754400.pdf</t>
      </text>
    </comment>
    <comment ref="G115" authorId="50" shapeId="0" xr:uid="{BB2B5D79-8DB1-4BA5-93AB-8B546CCE3F94}">
      <text>
        <t>[Threaded comment]
Your version of Excel allows you to read this threaded comment; however, any edits to it will get removed if the file is opened in a newer version of Excel. Learn more: https://go.microsoft.com/fwlink/?linkid=870924
Comment:
    Kuumasinkitty teräs
https://slofiles.blob.core.windows.net/pimfiles1/PDF/catalogue_9754400.pdf</t>
      </text>
    </comment>
    <comment ref="H115" authorId="51" shapeId="0" xr:uid="{1B1C2D54-AF97-46C1-9DCE-6B63CA80BDD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 
kerroin 2.6 kg CO2e /kg perustuu oletukseen , että alumiinista 75% on kierrätettyä
https://www.gov.uk/government/publications/greenhouse-gas-reporting-conversion-factors-2023
Kerroin:
Neitseellinen 9,108 kg CO2e /kg
kierrätetty  0,99 kg CO2e /kg
Käytän kerrointa 9,108 kg CO2e /kg, koska yhtiö ei kerro verkkosivuillaan onko käytetty alumiini kierrätettyä. </t>
      </text>
    </comment>
    <comment ref="I115" authorId="52" shapeId="0" xr:uid="{BFFDE114-8C21-4482-8839-BCB70406859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Teräslevy katteisiin ja seiniin, kuumasinkitty, maalattu tai maalaamaton tai COR-TEN pinnalle 
Tyypllinen arvo (A1-A3)
2.6 kg CO2e /kg
https://co2data.fi/infra/
</t>
      </text>
    </comment>
    <comment ref="J115" authorId="53" shapeId="0" xr:uid="{3FF5A7A3-95A8-4429-A617-D278F108C79C}">
      <text>
        <t>[Threaded comment]
Your version of Excel allows you to read this threaded comment; however, any edits to it will get removed if the file is opened in a newer version of Excel. Learn more: https://go.microsoft.com/fwlink/?linkid=870924
Comment:
    Alumiinin kerroin 2,6  kg CO₂e
https://co2data.fi/infra/ 
JALUSTALLA</t>
      </text>
    </comment>
    <comment ref="K115" authorId="54" shapeId="0" xr:uid="{12F8A924-44BF-4D21-8FE5-328EBDD19C18}">
      <text>
        <t>[Threaded comment]
Your version of Excel allows you to read this threaded comment; however, any edits to it will get removed if the file is opened in a newer version of Excel. Learn more: https://go.microsoft.com/fwlink/?linkid=870924
Comment:
    Alumiinin kerroin 9,108
JALUSTALLA</t>
      </text>
    </comment>
    <comment ref="D128" authorId="55" shapeId="0" xr:uid="{9B995C6B-D79C-463F-8F30-67AC7385265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https://www.finnelectric.fi/wp-content/uploads/2021/03/Kaapelijakokaappi_KVS_FE-1.pdf</t>
      </text>
    </comment>
    <comment ref="C129" authorId="56" shapeId="0" xr:uid="{2962A60E-43EE-42D1-BE5A-2248B8D0A3B6}">
      <text>
        <t>[Threaded comment]
Your version of Excel allows you to read this threaded comment; however, any edits to it will get removed if the file is opened in a newer version of Excel. Learn more: https://go.microsoft.com/fwlink/?linkid=870924
Comment:
    A sarakkeessa HeadPowerin rakennekuvista nimikkeet.
Lähimmät vastaavat tuotteet Finn Electric:ltä</t>
      </text>
    </comment>
    <comment ref="I129" authorId="57" shapeId="0" xr:uid="{E838A680-C977-4085-B838-D4AC73D779A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https://www.gov.uk/government/publications/greenhouse-gas-reporting-conversion-factors-2023
PES muoville valitsen 
Plastics: average plastics - 3,102 kg CO₂e
Ja
Lasikuidulle 1,7-2,5 kg CO₂e
(valitsen keskiarvon = 2,1kg CO₂e)
https://renewable-carbon.eu/news/natural-fibres-show-outstandingly-low-co2-footprint-compared-to-glass-and-mineral-fibres/
(3,102 * 0,75 + 2,1 * 0,25) kg CO₂e = 2,8515 kg CO₂e</t>
      </text>
    </comment>
    <comment ref="K129" authorId="58" shapeId="0" xr:uid="{943E425A-5A62-4096-85DA-E2D200A76C8A}">
      <text>
        <t>[Threaded comment]
Your version of Excel allows you to read this threaded comment; however, any edits to it will get removed if the file is opened in a newer version of Excel. Learn more: https://go.microsoft.com/fwlink/?linkid=870924
Comment:
    JALUSTALLA</t>
      </text>
    </comment>
    <comment ref="C140" authorId="59" shapeId="0" xr:uid="{DC39DB05-06E4-492C-9A92-781F0D617FD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https://sahkonumerot.fi/5441057</t>
      </text>
    </comment>
    <comment ref="E147" authorId="60" shapeId="0" xr:uid="{E189AA7B-9109-484F-A9CD-D9020FE99E8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https://www.sahkonumerot.fi/5043106</t>
      </text>
    </comment>
    <comment ref="G147" authorId="61" shapeId="0" xr:uid="{5452D42F-4F56-4203-A158-C721F5B25D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H148" authorId="62" shapeId="0" xr:uid="{CA21D2D0-AD4B-4979-B0EA-E1DE95BEC23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https://www.epditaly.it/wp-content/uploads/2016/12/EPD_XIANGHE_Anthesis_Lavola_.REV_03.01.2022_v2.pdf</t>
      </text>
    </comment>
    <comment ref="E149" authorId="63" shapeId="0" xr:uid="{FDAD8772-6902-4EAB-AE03-97D24C47FC7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https://www.sahkonumerot.fi/5020360</t>
      </text>
    </comment>
    <comment ref="G149" authorId="64" shapeId="0" xr:uid="{ACF6BDFF-1151-42BD-8C26-03E96EF13F6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158" authorId="65" shapeId="0" xr:uid="{1E63356B-8BEC-40F5-AB64-789B242D956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https://www.sahkonumerot.fi/5025108</t>
      </text>
    </comment>
    <comment ref="G158" authorId="66" shapeId="0" xr:uid="{89CF4BB9-F34E-4891-A7C8-A9034DDCE49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>
      </text>
    </comment>
    <comment ref="F159" authorId="67" shapeId="0" xr:uid="{8276FD81-68A6-4931-A4F1-4DC9E3FE2BE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https://www.sahkonumerot.fi/5024964</t>
      </text>
    </comment>
    <comment ref="G159" authorId="68" shapeId="0" xr:uid="{88F7B47D-1AE3-40B1-AA5F-355D74148FE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168" authorId="69" shapeId="0" xr:uid="{4EDABB08-1F30-4CF2-8CF9-0846A8BF52D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https://www.sahkonumerot.fi/5043106</t>
      </text>
    </comment>
    <comment ref="G168" authorId="70" shapeId="0" xr:uid="{66400FAE-1493-4BD9-9B12-2F5CF3F5780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>
      </text>
    </comment>
    <comment ref="H169" authorId="71" shapeId="0" xr:uid="{A30BB7C0-988C-4068-A6EB-55844C54973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https://www.epditaly.it/wp-content/uploads/2016/12/EPD_XIANGHE_Anthesis_Lavola_.REV_03.01.2022_v2.pdf</t>
      </text>
    </comment>
    <comment ref="E170" authorId="72" shapeId="0" xr:uid="{D68A9801-E2A2-4DC3-BA26-5A4692373D4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https://www.ensto.com/fi/sahkoverkonrakennus/tuotteet/keskijanniteratkaisut-ja-verkostoautomaatio/ilmajohtotarvikkeet/orret/sh153.10/</t>
      </text>
    </comment>
    <comment ref="G170" authorId="73" shapeId="0" xr:uid="{AFC7A7F1-D1BC-4351-AE3C-7158073E4B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178" authorId="74" shapeId="0" xr:uid="{C8A5D5A1-C11F-47BB-BF31-B43863E8B0B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https://www.onninen.fi/ensto-tappieristin-sdi-37-24kv-vetoholkilla/p/AAK119</t>
      </text>
    </comment>
    <comment ref="G178" authorId="75" shapeId="0" xr:uid="{C67414E6-E5DB-40C0-89FD-0EDBA1F18CC6}">
      <text>
        <t>[Threaded comment]
Your version of Excel allows you to read this threaded comment; however, any edits to it will get removed if the file is opened in a newer version of Excel. Learn more: https://go.microsoft.com/fwlink/?linkid=870924
Comment:
    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>
      </text>
    </comment>
    <comment ref="E179" authorId="76" shapeId="0" xr:uid="{4583BBB7-2B90-462B-BC7D-7A57B60422F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https://www.ensto.com/fi/sahkoverkonrakennus/tuotteet/keskijanniteratkaisut-ja-verkostoautomaatio/ilmajohtotarvikkeet/orret/sh66/</t>
      </text>
    </comment>
    <comment ref="G179" authorId="77" shapeId="0" xr:uid="{0CBC6E27-B5C8-45AA-B722-3D82BBF453B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188" authorId="78" shapeId="0" xr:uid="{CE41396A-1915-4911-8E90-DE15BC3092A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https://www.sahkonumerot.fi/5025001</t>
      </text>
    </comment>
    <comment ref="G188" authorId="79" shapeId="0" xr:uid="{B0A586F3-4EB9-46ED-8479-C89A9581BE8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189" authorId="80" shapeId="0" xr:uid="{ED17F02A-46B8-4830-9D4D-6222F4337F8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https://www.sahkonumerot.fi/5025108</t>
      </text>
    </comment>
    <comment ref="G189" authorId="81" shapeId="0" xr:uid="{D9A2EB93-5B3F-4D52-AEFD-D89B81626A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>
      </text>
    </comment>
    <comment ref="E198" authorId="82" shapeId="0" xr:uid="{23C9877B-ADE7-4F15-B46B-345C2B90F3E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https://www.onninen.fi/ensto-tappieristin-sdi-37-24kv-vetoholkilla/p/AAK119</t>
      </text>
    </comment>
    <comment ref="G198" authorId="83" shapeId="0" xr:uid="{FEB68C97-6460-4F56-861A-677957D67726}">
      <text>
        <t>[Threaded comment]
Your version of Excel allows you to read this threaded comment; however, any edits to it will get removed if the file is opened in a newer version of Excel. Learn more: https://go.microsoft.com/fwlink/?linkid=870924
Comment:
    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>
      </text>
    </comment>
    <comment ref="E199" authorId="84" shapeId="0" xr:uid="{17B3A52E-402E-4CD2-B046-38776711C4A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https://www.sahkonumerot.fi/5020426</t>
      </text>
    </comment>
    <comment ref="G199" authorId="85" shapeId="0" xr:uid="{7DEFA63A-BAE4-4326-8864-A2890A16164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G211" authorId="86" shapeId="0" xr:uid="{E13DA6E4-B0E8-44E7-B85B-913722F26B37}">
      <text>
        <t>[Threaded comment]
Your version of Excel allows you to read this threaded comment; however, any edits to it will get removed if the file is opened in a newer version of Excel. Learn more: https://go.microsoft.com/fwlink/?linkid=870924
Comment:
    Oletus raivatusta puustosta: 
Rakentaminen teiden varsiin, jolloin raivausta (avojohdolle) 5m leveydeltä, (3 m raivaus PAS, pj-ilmajohto ei raivausta, kaapeli ei raivausta).
Puolet metsää ja puolet peltoa reitistä.
Tällöin raivattava ala km matkalta avojohdolle on 1000m * 5m = 0,5ha.
Puuston keskitilavuus on 122m3 / ha
Suomen metsissä on puuta 2,5 miljardia kuutiometriä – neljännes siitä löytyy soilta | Luonnonvarakeskus 
Oletuksilla:
- 50% reitistä metsää
- 5m raivaustarve =&gt; 0,5ha / km johtoreittiä.
- 122m3 puuta / ha
Saadaan poistettavan puun määräksi 30,5m3 / km johtoreitti.
Raivattu puumassa antaa alla olevan linkin laskurilla arvon 28,2 t CO2
https://laskurit.hiilineutraalisuomi.fi/nielu/</t>
      </text>
    </comment>
    <comment ref="J221" authorId="87" shapeId="0" xr:uid="{C9793C8A-59F9-4CE4-96C0-0F086529F27F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Manufacturing, raaka-aineet ja kuljetus on sisällytetty koko elinkaaren aikaisiin vaikutuksiin (perustelut dokumentin sivulla 9).
https://sahkonumerot.fi/5411202/doc/environmentalproductdeclaration/?_gl=1*gwju7j*_ga*MTgzMDQ2MDAxNC4xNzA2MTgzMDEy*_ga_FR81BJWHT5*MTcwOTAyMjY3My44LjEuMTcwOTAyMjc3NS4wLjAuMA..</t>
      </text>
    </comment>
    <comment ref="J224" authorId="88" shapeId="0" xr:uid="{7F69FC8C-3F81-46F1-8E78-F6F7977F118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https://library.e.abb.com/public/bac306da5cd446d2ba0c6c3b6815c526/ABBG-00192-V01.01-EN.pdf?x-sign=q1UG56kG3B5DyjuLL8xwmnqcaT3vYKASh2NfTxG0zA2epykJ7EZlLGgNzx6z7Q3K</t>
      </text>
    </comment>
    <comment ref="J225" authorId="89" shapeId="0" xr:uid="{8C60A718-C2BE-45A1-9E7C-2A9C7A007761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Manufacturing, raaka-aineet ja kuljetus on sisällytetty koko elinkaaren aikaisiin vaikutuksiin (perustelut dokumentin sivulla 9).
https://search.abb.com/library/Download.aspx?DocumentID=2CGD001327S1000&amp;LanguageCode=en&amp;DocumentPartId=&amp;Action=Launch</t>
      </text>
    </comment>
    <comment ref="F234" authorId="90" shapeId="0" xr:uid="{813AD1C7-5E2D-4723-892D-CFE8F091183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https://www.ensto.com/fi/sahkoverkonrakennus/tuotteet/pienjanniteratkaisut/ilmajohtotarvikkeet/pylvastarvikkeet/sh82/</t>
      </text>
    </comment>
    <comment ref="H234" authorId="91" shapeId="0" xr:uid="{A388514D-DB63-4103-800D-E1A415411D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235" authorId="92" shapeId="0" xr:uid="{D39DB686-EA84-4176-A793-C6F9796088C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https://www.ensto.com/fi/sahkoverkonrakennus/tuotteet/keskijanniteratkaisut-ja-verkostoautomaatio/ilmajohtotarvikkeet/pylvastarvikkeet/sh244.2/</t>
      </text>
    </comment>
    <comment ref="H235" authorId="93" shapeId="0" xr:uid="{C0041FC8-8976-4D13-B84F-F37880963DF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236" authorId="94" shapeId="0" xr:uid="{7E7E2DAD-86E4-4AAE-ABE8-6535AA61D49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https://www.sahkonumerot.fi/5021225/</t>
      </text>
    </comment>
    <comment ref="H236" authorId="95" shapeId="0" xr:uid="{9D82BB60-07A7-4976-B78A-C3FD49EEAE7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F239" authorId="96" shapeId="0" xr:uid="{36C34FB6-D08E-4723-9329-244E74067C5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https://www.onninen.fi/fix-master-kansiruuvi-din-571-kzn-12x100-50kpl/p/CSA491</t>
      </text>
    </comment>
    <comment ref="I239" authorId="97" shapeId="0" xr:uid="{AAD0C19E-00C2-42EF-AC49-52A78310AF5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D245" authorId="98" shapeId="0" xr:uid="{22A22630-4142-40B2-B9C0-12547BA1E6B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https://www.sahkonumerot.fi/5044012</t>
      </text>
    </comment>
    <comment ref="F245" authorId="99" shapeId="0" xr:uid="{0EA02344-0B60-44EC-A615-3577FFBF4F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>
      </text>
    </comment>
    <comment ref="C251" authorId="100" shapeId="0" xr:uid="{6871EFE6-D5D7-4723-B92A-26E2C2825E4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https://www.rudus.fi/tuotteet/infraelementit/muuntamorakennukset/1718/puistomuuntamo?tab=tuote&amp;ProductId=4023</t>
      </text>
    </comment>
    <comment ref="E252" authorId="101" shapeId="0" xr:uid="{A7063C32-1CFD-4FA4-AB03-3DE3B5AC12D2}">
      <text>
        <t>[Threaded comment]
Your version of Excel allows you to read this threaded comment; however, any edits to it will get removed if the file is opened in a newer version of Excel. Learn more: https://go.microsoft.com/fwlink/?linkid=870924
Comment:
    0,15 kg CO2e / kg (ontelolaatta elementti)
https://co2data.fi/infra/</t>
      </text>
    </comment>
    <comment ref="E264" authorId="102" shapeId="0" xr:uid="{76FB9E64-2665-4008-B1FC-36D8CBC043B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https://www.sahkonumerot.fi/5043106</t>
      </text>
    </comment>
    <comment ref="G264" authorId="103" shapeId="0" xr:uid="{561CE051-C1E0-4F27-BF26-1EDD62F74E6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H265" authorId="104" shapeId="0" xr:uid="{1E360648-0C14-4C5B-97C7-3D4A4751688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https://www.epditaly.it/wp-content/uploads/2016/12/EPD_XIANGHE_Anthesis_Lavola_.REV_03.01.2022_v2.pdf</t>
      </text>
    </comment>
    <comment ref="E266" authorId="105" shapeId="0" xr:uid="{FC616BD2-7714-422D-BA56-F20DEA48A22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https://www.ensto.com/fi/sahkoverkonrakennus/tuotteet/keskijanniteratkaisut-ja-verkostoautomaatio/ilmajohtotarvikkeet/orret/sh696/</t>
      </text>
    </comment>
    <comment ref="G266" authorId="106" shapeId="0" xr:uid="{EAE68BDA-BD80-4C0D-933C-FD7E27B8FCD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C274" authorId="107" shapeId="0" xr:uid="{CA00C7A8-20E2-460C-A1CD-0B78E16B63D1}">
      <text>
        <t>[Threaded comment]
Your version of Excel allows you to read this threaded comment; however, any edits to it will get removed if the file is opened in a newer version of Excel. Learn more: https://go.microsoft.com/fwlink/?linkid=870924
Comment:
    Sivu 25
https://library.e.abb.com/public/69dceb20459249b793d17936186f396a/KJK1FI02_05.pdf?x-sign=7m0Nf4pBk+JHXOYE9SpkHihkjRUYpwYlDlb/Tss9kHj8FvoZ4y1l3GH0zOLcMRlI</t>
      </text>
    </comment>
    <comment ref="G274" authorId="108" shapeId="0" xr:uid="{6938E038-80B7-4376-82E3-92DF39D8A379}">
      <text>
        <t>[Threaded comment]
Your version of Excel allows you to read this threaded comment; however, any edits to it will get removed if the file is opened in a newer version of Excel. Learn more: https://go.microsoft.com/fwlink/?linkid=870924
Comment:
    Kiskon paino/metri x kiskon pituus</t>
      </text>
    </comment>
    <comment ref="H274" authorId="109" shapeId="0" xr:uid="{CBD5EC34-F0CF-4396-9F84-33E4010C3EE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Alumiinin päästökerroin 
Tässä käytetään neitseellisen alumiinin kerrointa 9,108 kg CO2e /kg.
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>
      </text>
    </comment>
    <comment ref="E275" authorId="110" shapeId="0" xr:uid="{60544CF0-D26A-439A-A6A7-B92E27F53F40}">
      <text>
        <t>[Threaded comment]
Your version of Excel allows you to read this threaded comment; however, any edits to it will get removed if the file is opened in a newer version of Excel. Learn more: https://go.microsoft.com/fwlink/?linkid=870924
Comment:
    400, koska 630:lle ei alle 400mm kiskoa valmistajalta tarjolla kyseisestä taulukosta.</t>
      </text>
    </comment>
    <comment ref="E276" authorId="111" shapeId="0" xr:uid="{4E3FB629-EDA0-4780-B5EC-ABF84B39E291}">
      <text>
        <t>[Threaded comment]
Your version of Excel allows you to read this threaded comment; however, any edits to it will get removed if the file is opened in a newer version of Excel. Learn more: https://go.microsoft.com/fwlink/?linkid=870924
Comment:
    400, koska 630:lle ei alle 400mm kiskoa valmistajalta tarjolla kyseisestä taulukosta.</t>
      </text>
    </comment>
    <comment ref="E298" authorId="112" shapeId="0" xr:uid="{357DBB92-A2B6-424D-91EA-2AAE8921C40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https://www.ensto.com/fi/sahkoverkonrakennus/tuotteet/pienjanniteratkaisut/ilmajohtotarvikkeet/pylvastarvikkeet/sh167.30/</t>
      </text>
    </comment>
    <comment ref="G298" authorId="113" shapeId="0" xr:uid="{1E85C5AE-12F2-44DB-B8FC-DAF22290C54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299" authorId="114" shapeId="0" xr:uid="{AF4E30B0-291F-45E5-8F86-7A98190C9E1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https://www.ensto.com/fi/sahkoverkonrakennus/tuotteet/pienjanniteratkaisut/ilmajohtotarvikkeet/pylvastarvikkeet/sot4.6/</t>
      </text>
    </comment>
    <comment ref="G299" authorId="115" shapeId="0" xr:uid="{DEE413B1-B2BC-4642-AC81-9963327B973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300" authorId="116" shapeId="0" xr:uid="{B45D74DB-5CF7-45E1-B506-7A625896D85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https://www.sahkonumerot.fi/5024840</t>
      </text>
    </comment>
    <comment ref="G300" authorId="117" shapeId="0" xr:uid="{A5641A32-BBCE-43AC-86B0-5DA4C05554F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
betonikaivo, päällyskansi, umpikansi Ø = 600 mm, h = 40 mm 
0,15 kg CO2e / kg
Valitsen tämän arvon, koska sivulla
https://www.jakobetoni.fi/betonituotteet/haruslaatat
https://www.jakobetoni.fi/tiedostot/dop-jakobetoni.pdf
Ladattavan tiedoston mukaan saa käsityksen, että samaa betonilaatua käytetään haruslaatoissa, kuin betonisissa kaivonkansissa.
Ja SYKE:n tietokannasta löytyi tuo kaivonkannen päästötieto.
</t>
      </text>
    </comment>
    <comment ref="E301" authorId="118" shapeId="0" xr:uid="{49290F4B-1E63-427B-8D60-3CD23E71D78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https://www.ensto.com/fi/sahkoverkonrakennus/tuotteet/pienjanniteratkaisut/ilmajohtotarvikkeet/pylvastarvikkeet/sh81/</t>
      </text>
    </comment>
    <comment ref="G301" authorId="119" shapeId="0" xr:uid="{AEE7892E-502C-479F-9745-134B98F6DBA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G302" authorId="120" shapeId="0" xr:uid="{0257A4FF-5353-429B-AF42-1D93D9A59FA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G311" authorId="121" shapeId="0" xr:uid="{173A57DC-192F-4D20-B254-6A055980A2AB}">
      <text>
        <t>[Threaded comment]
Your version of Excel allows you to read this threaded comment; however, any edits to it will get removed if the file is opened in a newer version of Excel. Learn more: https://go.microsoft.com/fwlink/?linkid=870924
Comment:
    Kuparin CO2e sivu 3
https://co2data.fi/infra/reports/INFRA%20muut%20metallituotteet%20R01.05.pdf</t>
      </text>
    </comment>
    <comment ref="F312" authorId="122" shapeId="0" xr:uid="{C910DA35-7DE9-4AE9-B094-5FC35D546BE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https://www.sahkonumerot.fi/5040306</t>
      </text>
    </comment>
    <comment ref="F313" authorId="123" shapeId="0" xr:uid="{E559D053-1ADB-46B9-96A9-42D18D302BA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https://www.sahkonumerot.fi/5201038</t>
      </text>
    </comment>
    <comment ref="F314" authorId="124" shapeId="0" xr:uid="{8BFF26F5-ECF0-4B2F-97B2-86D1514D092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https://www.sahkonumerot.fi/5026121</t>
      </text>
    </comment>
    <comment ref="G314" authorId="125" shapeId="0" xr:uid="{6374AACA-C24D-4C96-BC8A-B13B862853B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Kuparin CO2e sivu 3
https://co2data.fi/infra/reports/INFRA%20muut%20metallituotteet%20R01.05.pdf
</t>
      </text>
    </comment>
    <comment ref="H315" authorId="126" shapeId="0" xr:uid="{C6B5094B-F223-4D08-8E90-2ED93FC1CA41}">
      <text>
        <t>[Threaded comment]
Your version of Excel allows you to read this threaded comment; however, any edits to it will get removed if the file is opened in a newer version of Excel. Learn more: https://go.microsoft.com/fwlink/?linkid=870924
Comment:
    Co2data.fi 16mm2 kupariköyden CO2e arvo 0,59 kerrottuna 25mm2 ja 16mm2 suhteella.</t>
      </text>
    </comment>
    <comment ref="L352" authorId="127" shapeId="0" xr:uid="{32E98694-8DA1-4981-91BC-31D1A59077A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https://sahkonumerot.fi/5708507/doc/environmentalproductdeclaration/</t>
      </text>
    </comment>
    <comment ref="E368" authorId="128" shapeId="0" xr:uid="{99BD6792-C55C-480E-A1ED-899DC6AB586D}">
      <text>
        <t>[Threaded comment]
Your version of Excel allows you to read this threaded comment; however, any edits to it will get removed if the file is opened in a newer version of Excel. Learn more: https://go.microsoft.com/fwlink/?linkid=870924
Comment:
    Öljyeristeiset jakelumuuntajat BTB
20 kV-sarja Tier1
https://www.btbtransformers.com/fi/muuntajat/#!/transformer-section-4</t>
      </text>
    </comment>
    <comment ref="D369" authorId="129" shapeId="0" xr:uid="{56572072-6E8E-4451-95B6-F65839FFE6F3}">
      <text>
        <t>[Threaded comment]
Your version of Excel allows you to read this threaded comment; however, any edits to it will get removed if the file is opened in a newer version of Excel. Learn more: https://go.microsoft.com/fwlink/?linkid=870924
Comment:
    Painot sähkönumerot sivuston tiedoista. Valmistajan tuotekorttia ei löytynyt.
Vanhemmalle Ecodesign EU No. 548/2014 (Tier 1) AL-AL. Löytyi, mutta en ota niitä huomioon, koska ovat Tier 1 luokituksella.
En löydä varmuutta mallille Eaton T2 OTR, mutta oletan, että on Tier 2 luokituksella.</t>
      </text>
    </comment>
    <comment ref="D370" authorId="130" shapeId="0" xr:uid="{0B8DFA86-4DF3-427B-B3B2-3EC0B3C1D5D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https://www.sahkonumerot.fi/5708501</t>
      </text>
    </comment>
    <comment ref="D371" authorId="131" shapeId="0" xr:uid="{6D538662-BBAD-46B0-8033-0EE7801004D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https://www.sahkonumerot.fi/5708504</t>
      </text>
    </comment>
    <comment ref="D372" authorId="132" shapeId="0" xr:uid="{FE07717F-C0F6-40A6-AA1F-9842C286A45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https://www.sahkonumerot.fi/5708506</t>
      </text>
    </comment>
    <comment ref="D373" authorId="133" shapeId="0" xr:uid="{9EDA827B-BE93-4A39-B411-08A99D77166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https://www.sahkonumerot.fi/5708531</t>
      </text>
    </comment>
    <comment ref="D374" authorId="134" shapeId="0" xr:uid="{3880B843-9188-49E1-8791-E6469305449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https://www.sahkonumerot.fi/5708509</t>
      </text>
    </comment>
    <comment ref="D375" authorId="135" shapeId="0" xr:uid="{4651BE04-D3E3-4962-ADC2-DE43A58BD32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https://www.sahkonumerot.fi/5708512</t>
      </text>
    </comment>
    <comment ref="D376" authorId="136" shapeId="0" xr:uid="{C662CAEE-8A8F-4C3B-A376-C7DAC59CBD8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https://www.sahkonumerot.fi/5708514</t>
      </text>
    </comment>
    <comment ref="D378" authorId="137" shapeId="0" xr:uid="{25656623-E45A-4B57-A879-DBD6EC341B2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https://www.sahkonumerot.fi/5708516</t>
      </text>
    </comment>
    <comment ref="D379" authorId="138" shapeId="0" xr:uid="{3AB9CE55-4604-45C7-B3C0-8825F853521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https://www.sahkonumerot.fi/5708518</t>
      </text>
    </comment>
    <comment ref="D380" authorId="139" shapeId="0" xr:uid="{83A7836E-8A15-459F-8FD5-C04CFB6FF7C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https://www.sahkonumerot.fi/5708520</t>
      </text>
    </comment>
    <comment ref="D381" authorId="140" shapeId="0" xr:uid="{F8BAB722-6A93-48CD-9814-B27C8BE015D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https://www.sahkonumerot.fi/5708522</t>
      </text>
    </comment>
    <comment ref="C386" authorId="141" shapeId="0" xr:uid="{40F22620-CCA2-4F58-A723-EA6649CE16CA}">
      <text>
        <t>[Threaded comment]
Your version of Excel allows you to read this threaded comment; however, any edits to it will get removed if the file is opened in a newer version of Excel. Learn more: https://go.microsoft.com/fwlink/?linkid=870924
Comment:
    Vertailua muuntajista painojen ja kVA perusteella. Keskiarvoilla lasketut paino ja kVA osuudet (keskiarviot jaettu 50-200, 315-630 ja 800-2000kVA).
Keskiarvot jaettu kolmelle tehoalueelle, koska pienempien muuntajien valmistus on suhteessa ympäristö kuormittavampaa. Tämän huomion näkee EPD:stä kerättyjen tietojen taulukosta.</t>
      </text>
    </comment>
    <comment ref="E386" authorId="142" shapeId="0" xr:uid="{C3310AB2-9CB1-42B5-8CAA-3FF049A65B09}">
      <text>
        <t>[Threaded comment]
Your version of Excel allows you to read this threaded comment; however, any edits to it will get removed if the file is opened in a newer version of Excel. Learn more: https://go.microsoft.com/fwlink/?linkid=870924
Comment:
    Öljyeristeiset jakelumuuntajat BTB
20 kV-sarja Tier1
https://www.btbtransformers.com/fi/muuntajat/#!/transformer-section-4</t>
      </text>
    </comment>
    <comment ref="D388" authorId="143" shapeId="0" xr:uid="{9C2BD9E6-EF8E-4197-B6B8-CB13425623B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https://re-tech.fi/wp-content/uploads/2024/03/DT-5020porc.pdf</t>
      </text>
    </comment>
    <comment ref="D389" authorId="144" shapeId="0" xr:uid="{EDD405B8-95A6-4E04-A870-DBA6186D22E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https://re-tech.fi/wp-content/uploads/2024/03/DT-10020porc.pdf</t>
      </text>
    </comment>
    <comment ref="D391" authorId="145" shapeId="0" xr:uid="{AAF670C6-6CC6-4665-97FF-31E2F57BE7A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https://re-tech.fi/wp-content/uploads/2024/03/DT-20020porc.pdf</t>
      </text>
    </comment>
    <comment ref="D392" authorId="146" shapeId="0" xr:uid="{08B672EE-F039-4406-9715-50BF7365ECFA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https://re-tech.fi/wp-content/uploads/2024/03/DT-31520porc.pdf</t>
      </text>
    </comment>
    <comment ref="D393" authorId="147" shapeId="0" xr:uid="{F4E47470-75AD-4DB1-B8AE-6F61A31A626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https://re-tech.fi/wp-content/uploads/2024/03/DT-50020porc.pdf</t>
      </text>
    </comment>
    <comment ref="D395" authorId="148" shapeId="0" xr:uid="{E0A1DA41-8367-4B8D-B06A-67F9E741340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https://re-tech.fi/wp-content/uploads/2024/03/DT-80020porc.pdf</t>
      </text>
    </comment>
    <comment ref="D396" authorId="149" shapeId="0" xr:uid="{DD6CBC97-14A2-407E-B877-4DDD2692593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https://re-tech.fi/wp-content/uploads/2024/03/DT-100020porc.pdf</t>
      </text>
    </comment>
    <comment ref="C402" authorId="150" shapeId="0" xr:uid="{0E1D2815-A3B8-4F40-93BF-3102320F0B2F}">
      <text>
        <t>[Threaded comment]
Your version of Excel allows you to read this threaded comment; however, any edits to it will get removed if the file is opened in a newer version of Excel. Learn more: https://go.microsoft.com/fwlink/?linkid=870924
Comment:
    Vertailua muuntajista painojen ja kVA perusteella. Keskiarvoilla lasketut paino ja kVA osuudet (keskiarviot jaettu 50-200, 315-630 ja 800-2000kVA).
Keskiarvot jaettu kolmelle tehoalueelle, koska pienempien muuntajien valmistus on suhteessa ympäristö kuormittavampaa. Tämän huomion näkee EPD:stä kerättyjen tietojen taulukosta.</t>
      </text>
    </comment>
    <comment ref="E402" authorId="151" shapeId="0" xr:uid="{A8076D37-FA8B-4597-8E7B-A6EB637A4C81}">
      <text>
        <t>[Threaded comment]
Your version of Excel allows you to read this threaded comment; however, any edits to it will get removed if the file is opened in a newer version of Excel. Learn more: https://go.microsoft.com/fwlink/?linkid=870924
Comment:
    Öljyeristeiset jakelumuuntajat BTB
20 kV-sarja Tier1
https://www.btbtransformers.com/fi/muuntajat/#!/transformer-section-4</t>
      </text>
    </comment>
    <comment ref="C403" authorId="152" shapeId="0" xr:uid="{C3B02B00-D33E-4291-9F9F-65E12564083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https://kpower.ru/wp-content/uploads/2021/11/%D0%A2%D1%80%D0%B0%D0%BD%D1%81%D1%84%D0%BE%D1%80%D0%BC%D0%B0%D1%82%D0%BE%D1%80-SE-Minera-EcoDesign.pdf</t>
      </text>
    </comment>
    <comment ref="C418" authorId="153" shapeId="0" xr:uid="{3D3CE3E5-F9E4-42D3-A397-DBEF2CDC8BAF}">
      <text>
        <t>[Threaded comment]
Your version of Excel allows you to read this threaded comment; however, any edits to it will get removed if the file is opened in a newer version of Excel. Learn more: https://go.microsoft.com/fwlink/?linkid=870924
Comment:
    Vertailua muuntajista painojen ja kVA perusteella. Keskiarvoilla lasketut paino ja kVA osuudet (keskiarviot jaettu 50-200, 315-630 ja 800-2000kVA).
Keskiarvot jaettu kolmelle tehoalueelle, koska pienempien muuntajien valmistus on suhteessa ympäristö kuormittavampaa. Tämän huomion näkee EPD:stä kerättyjen tietojen taulukosta.</t>
      </text>
    </comment>
    <comment ref="E418" authorId="154" shapeId="0" xr:uid="{CDDE684B-7E73-4519-952E-2445ED90DAE6}">
      <text>
        <t>[Threaded comment]
Your version of Excel allows you to read this threaded comment; however, any edits to it will get removed if the file is opened in a newer version of Excel. Learn more: https://go.microsoft.com/fwlink/?linkid=870924
Comment:
    Öljyeristeiset jakelumuuntajat BTB
20 kV-sarja Tier1
https://www.btbtransformers.com/fi/muuntajat/#!/transformer-section-4</t>
      </text>
    </comment>
    <comment ref="C419" authorId="155" shapeId="0" xr:uid="{E9BFCF21-0172-42F2-972D-6F6DAE316C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Öljyeristeiset jakelumuuntajat BTB
20 kV-sarja Tier1
https://www.btbtransformers.com/fi/muuntajat/#!/transformer-section-4
</t>
      </text>
    </comment>
    <comment ref="C434" authorId="156" shapeId="0" xr:uid="{3DBF1155-2536-44F2-BDC9-F01BC154B39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https://www.epditaly.it/en/wp-content/uploads/2016/12/EPD_Netwon_110082_2023-03-03.pdf</t>
      </text>
    </comment>
    <comment ref="C435" authorId="157" shapeId="0" xr:uid="{6C483EB5-6920-4631-A2C8-A92014C6FB6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https://www.epditaly.it/en/wp-content/uploads/2016/12/EPD_Netwon-TFN_EPDITALY0586_def.pdf</t>
      </text>
    </comment>
    <comment ref="C436" authorId="158" shapeId="0" xr:uid="{14C15E1A-EC9F-4B31-8B32-26F16E5F11A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https://www.epditaly.it/en/wp-content/uploads/2016/12/EPDITALY0491-Hitachi-04.01.2023.pdf</t>
      </text>
    </comment>
    <comment ref="C437" authorId="159" shapeId="0" xr:uid="{21CCE721-D817-46B0-A700-DA5A17478B9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https://www.epditaly.it/en/wp-content/uploads/2016/12/EPDITALY0491-Hitachi-04.01.2023.pdf</t>
      </text>
    </comment>
    <comment ref="C438" authorId="160" shapeId="0" xr:uid="{2977CFAB-084E-4D88-917B-FC9B6E59128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https://www.epditaly.it/en/wp-content/uploads/2016/12/EPD-COTRADIS-400kva_v7-1.pdf</t>
      </text>
    </comment>
    <comment ref="C439" authorId="161" shapeId="0" xr:uid="{0E8D89E0-8D10-4AE2-89BC-340E7EBF1C2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https://www.epditaly.it/en/wp-content/uploads/2016/12/EPD-COTRADIS-630kva_v7-1.pdf</t>
      </text>
    </comment>
    <comment ref="C440" authorId="162" shapeId="0" xr:uid="{BEF87C97-C718-460E-93F7-42B63C39AD6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https://www.epditaly.it/en/wp-content/uploads/2016/12/EPD_1000-kVA_October_Final.pdf</t>
      </text>
    </comment>
    <comment ref="C441" authorId="163" shapeId="0" xr:uid="{0BE6E32C-3355-42BC-94CD-0A77F59CC60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https://www.epditaly.it/en/wp-content/uploads/2016/12/EPD_630-kVA_October_Final.pdf</t>
      </text>
    </comment>
    <comment ref="C442" authorId="164" shapeId="0" xr:uid="{28F44C24-88AF-4C2F-9512-C647966FF5A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https://www.epditaly.it/en/wp-content/uploads/2016/12/EPD_400-kVA_October_Final-1.pdf</t>
      </text>
    </comment>
    <comment ref="C443" authorId="165" shapeId="0" xr:uid="{453BA425-FF50-488F-A895-C25BF711C80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https://www.epditaly.it/en/wp-content/uploads/2016/12/EPD_250-kVA_October_Final.pdf</t>
      </text>
    </comment>
    <comment ref="C444" authorId="166" shapeId="0" xr:uid="{4BF6EB4D-BA08-40ED-9C1F-67900F06993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https://www.epditaly.it/en/wp-content/uploads/2016/12/EPD_IMEFY_630KVA_2000KVA-1.pdf</t>
      </text>
    </comment>
    <comment ref="C445" authorId="167" shapeId="0" xr:uid="{746B93F3-604D-46D9-BA27-79C7DF85AB4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https://www.epditaly.it/en/wp-content/uploads/2016/12/EPD_IMEFY_630KVA_2000KVA-1.pdf</t>
      </text>
    </comment>
    <comment ref="C446" authorId="168" shapeId="0" xr:uid="{884BD432-2A26-4E01-9F68-2FACAD2448F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https://www.epditaly.it/en/wp-content/uploads/2016/12/EPD_IMEFY_630KVA_2000KVA-1.pdf</t>
      </text>
    </comment>
    <comment ref="C447" authorId="169" shapeId="0" xr:uid="{A886C7D2-4616-497E-878E-DDACC0E8DC1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https://www.epditaly.it/en/wp-content/uploads/2016/12/EPD_IMEFY_630KVA_2000KVA-1.pdf</t>
      </text>
    </comment>
    <comment ref="C448" authorId="170" shapeId="0" xr:uid="{32D2D53C-310B-4104-825E-7C00954A8D3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https://www.epditaly.it/en/wp-content/uploads/2016/12/EPD_IMEFY_630KVA_2000KVA-1.pdf</t>
      </text>
    </comment>
    <comment ref="C449" authorId="171" shapeId="0" xr:uid="{F938EF95-E0F3-4D2E-9C7B-C67922C9013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https://www.epditaly.it/en/wp-content/uploads/2016/12/EPD_IMEFY_50KVA_400KVA-1.pdf</t>
      </text>
    </comment>
    <comment ref="C450" authorId="172" shapeId="0" xr:uid="{6BC562B1-20B2-4167-8C72-F4FE9E7A1CF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https://www.epditaly.it/en/wp-content/uploads/2016/12/EPD_IMEFY_50KVA_400KVA-1.pdf</t>
      </text>
    </comment>
    <comment ref="C451" authorId="173" shapeId="0" xr:uid="{75A24DC5-44AC-4359-8D6D-2A7728175112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https://www.epditaly.it/en/wp-content/uploads/2016/12/EPD_IMEFY_50KVA_400KVA-1.pdf</t>
      </text>
    </comment>
    <comment ref="C452" authorId="174" shapeId="0" xr:uid="{01254F56-E861-4C81-BB0C-0AEF2B39CC1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https://www.epditaly.it/en/wp-content/uploads/2016/12/EPD_IMEFY_50KVA_400KVA-1.pdf</t>
      </text>
    </comment>
    <comment ref="C453" authorId="175" shapeId="0" xr:uid="{022C5849-0DAA-4402-9EFA-1506E62ED5B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https://www.epditaly.it/en/wp-content/uploads/2016/12/EPD_IMEFY_50KVA_400KVA-1.pdf</t>
      </text>
    </comment>
    <comment ref="C454" authorId="176" shapeId="0" xr:uid="{6AFF14F6-76F2-42E0-8318-7411B99C3F6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https://www.epditaly.it/en/wp-content/uploads/2016/12/MECA_Dichiarazione-ambientale-di-prodotto_2023_Rev.-del-04.08.2023.pdf</t>
      </text>
    </comment>
    <comment ref="C455" authorId="177" shapeId="0" xr:uid="{8A7F4773-0322-4258-ABDA-7EF47AC8B255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https://www.epditaly.it/en/wp-content/uploads/2016/12/MECA_Dichiarazione-ambientale-di-prodotto_2023_Rev.-del-04.08.2023.pdf</t>
      </text>
    </comment>
    <comment ref="C456" authorId="178" shapeId="0" xr:uid="{F61BF9EE-2D82-4F2F-A3CC-1CB5F24236F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https://www.epditaly.it/en/wp-content/uploads/2016/12/EPD_SiemensSE_DB_001_800kVA-22-02-2022.pdf</t>
      </text>
    </comment>
    <comment ref="C457" authorId="179" shapeId="0" xr:uid="{7006257D-6D0F-4D7C-B194-9F297B696E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https://www.epditaly.it/en/wp-content/uploads/2016/12/EPD_SE_DB_002_1000kVA-31-03-2022.pdf
</t>
      </text>
    </comment>
    <comment ref="C458" authorId="180" shapeId="0" xr:uid="{8EBDDDE1-BCD4-434E-8E78-D68CB54A1AF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https://www.epditaly.it/en/wp-content/uploads/2016/12/EPD_SE_DB_003_400kVA-31-03-2022.pdf</t>
      </text>
    </comment>
    <comment ref="C459" authorId="181" shapeId="0" xr:uid="{10693F73-EB5C-41E6-8BC6-8D25892534A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https://www.epditaly.it/en/wp-content/uploads/2016/12/EPD_SE_DB_004_630kVA-31-03-2022.pdf</t>
      </text>
    </comment>
    <comment ref="C460" authorId="182" shapeId="0" xr:uid="{C1B1C941-F4DF-45A7-973F-337892A2D84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https://www.epditaly.it/en/wp-content/uploads/2016/12/EPD_SE_DB_005_250kVA-31-03-2022.pdf</t>
      </text>
    </comment>
    <comment ref="C473" authorId="183" shapeId="0" xr:uid="{F41F82DB-9C41-49F4-84C1-BE9C7A39D83F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https://www.onninen.fi/sahko/57-kondensaattorit-ja-jakelumuuntajat/c/589?filter=ETIM_EF003775%3D1.0%20kV&amp;sort=_score&amp;order=DESC</t>
      </text>
    </comment>
    <comment ref="E474" authorId="184" shapeId="0" xr:uid="{863FA541-A320-48AC-B309-25C79D09B70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https://www.onninen.fi/green-transfo-jakelumuuntaja-sphera-dt-t2-30-kva-1-0-4/p/CNC669
</t>
      </text>
    </comment>
    <comment ref="E475" authorId="185" shapeId="0" xr:uid="{4E865203-0B8C-44BF-AB9F-DBD0E0B7AC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https://www.onninen.fi/green-transfo-jakelumuuntaja-sphera-dt-t2-50-kva-1-0-4/p/CNC665
</t>
      </text>
    </comment>
    <comment ref="E476" authorId="186" shapeId="0" xr:uid="{1AF285E5-9A6C-460A-BE1D-8A01FA1950B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https://www.onninen.fi/green-transfo-jakelumuuntaja-sphera-dt-t2-100-kva-1-0-4/p/CNC664</t>
      </text>
    </comment>
    <comment ref="C479" authorId="187" shapeId="0" xr:uid="{393610B3-0201-425D-A84B-B1C22EB5717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https://www.onninen.fi/schneider-electric-jakelumuuntaja-sch-1000kva-20-10kv-plug/p/ATG852</t>
      </text>
    </comment>
    <comment ref="E487" authorId="188" shapeId="0" xr:uid="{509744E1-EAB8-4750-808F-396E21D22D8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https://www.ensto.com/fi/sahkoverkonrakennus/tuotteet/keskijanniteratkaisut-ja-verkostoautomaatio/ilmajohtotarvikkeet/orret/sh70/</t>
      </text>
    </comment>
    <comment ref="G487" authorId="189" shapeId="0" xr:uid="{BE8D7251-B276-4E72-861B-8A7ED9AF1C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488" authorId="190" shapeId="0" xr:uid="{E2B32436-3992-4E81-9AEA-E040BEFFE68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https://www.sahkonumerot.fi/5020787</t>
      </text>
    </comment>
    <comment ref="G488" authorId="191" shapeId="0" xr:uid="{02F093D3-AC57-4BEE-A7EE-97CE78581B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489" authorId="192" shapeId="0" xr:uid="{CB7755CD-A54E-44DF-9EC8-FE86310654D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https://www.onninen.fi/ensto-tappieristin-sdi-37-24kv-vetoholkilla/p/AAK119</t>
      </text>
    </comment>
    <comment ref="G489" authorId="193" shapeId="0" xr:uid="{C3C949BA-ED5F-4643-8E34-71F3C4D25471}">
      <text>
        <t>[Threaded comment]
Your version of Excel allows you to read this threaded comment; however, any edits to it will get removed if the file is opened in a newer version of Excel. Learn more: https://go.microsoft.com/fwlink/?linkid=870924
Comment:
    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>
      </text>
    </comment>
    <comment ref="E497" authorId="194" shapeId="0" xr:uid="{DE310EBF-7D41-45AE-BB6A-27611EDDCCB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https://www.ensto.com/fi/sahkoverkonrakennus/tuotteet/keskijanniteratkaisut-ja-verkostoautomaatio/ilmajohtotarvikkeet/orret/sh70/</t>
      </text>
    </comment>
    <comment ref="G497" authorId="195" shapeId="0" xr:uid="{D5EAB486-0F16-49FF-A426-CF9DECEAD75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498" authorId="196" shapeId="0" xr:uid="{E8150875-7AB4-4CDE-B129-B0210BF7F81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https://www.sahkonumerot.fi/5020788</t>
      </text>
    </comment>
    <comment ref="G498" authorId="197" shapeId="0" xr:uid="{D16F8DE6-0E12-4CC3-9D01-5D31F581DA3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499" authorId="198" shapeId="0" xr:uid="{CA064B73-A732-4E13-A3FB-C8211BD00FF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https://www.onninen.fi/ensto-tappieristin-sdi-37-24kv-vetoholkilla/p/AAK119</t>
      </text>
    </comment>
    <comment ref="G499" authorId="199" shapeId="0" xr:uid="{75049278-2DEC-4A9E-9576-8C27365FC514}">
      <text>
        <t>[Threaded comment]
Your version of Excel allows you to read this threaded comment; however, any edits to it will get removed if the file is opened in a newer version of Excel. Learn more: https://go.microsoft.com/fwlink/?linkid=870924
Comment:
    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>
      </text>
    </comment>
    <comment ref="E500" authorId="200" shapeId="0" xr:uid="{42FBA29C-267D-496C-BA79-B5A90C09E4E7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https://www.ensto.com/fi/sahkoverkonrakennus/tuotteet/keskijanniteratkaisut-ja-verkostoautomaatio/ilmajohtotarvikkeet/orret/sh75/</t>
      </text>
    </comment>
    <comment ref="G500" authorId="201" shapeId="0" xr:uid="{D765CCC7-30F5-4A05-B398-D488FF5BD9B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509" authorId="202" shapeId="0" xr:uid="{80B87727-94A0-4A36-8CCD-42E761613AA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https://co2data.fi/infra/
Murske 0-32
kg CO₂e/kg</t>
      </text>
    </comment>
    <comment ref="H509" authorId="203" shapeId="0" xr:uid="{89B769D6-DE76-4574-8D05-DA0F019568C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suodatinkangas, käyttöluokka N2 
kg CO₂e/m²
https://co2data.fi/infra/
</t>
      </text>
    </comment>
    <comment ref="K509" authorId="204" shapeId="0" xr:uid="{B2C822A3-7D83-43AE-8FC5-39E6CA2B8BF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kg CO₂e/m²
https://finnfoam.fi/wp-content/uploads/2022/11/finnfoamxps_rts-epd_FINNFOAM-_XPS_113-21.pdf
sivut 11-12
</t>
      </text>
    </comment>
    <comment ref="N509" authorId="205" shapeId="0" xr:uid="{C1266AED-D5A2-48A4-A13D-40ABC75663D1}">
      <text>
        <t>[Threaded comment]
Your version of Excel allows you to read this threaded comment; however, any edits to it will get removed if the file is opened in a newer version of Excel. Learn more: https://go.microsoft.com/fwlink/?linkid=870924
Comment:
    putki, maaviemäri 110 mm, PVC, 6M, SN8 
https://co2data.fi/infra/</t>
      </text>
    </comment>
    <comment ref="P509" authorId="206" shapeId="0" xr:uid="{EDAAEFB1-A061-437B-AF65-17121B876BCE}">
      <text>
        <t>[Threaded comment]
Your version of Excel allows you to read this threaded comment; however, any edits to it will get removed if the file is opened in a newer version of Excel. Learn more: https://go.microsoft.com/fwlink/?linkid=870924
Comment:
    Polyeteeni (HDPE)</t>
      </text>
    </comment>
    <comment ref="Q509" authorId="207" shapeId="0" xr:uid="{3AC9761E-B440-415A-99D1-C78CAAF9DBF5}">
      <text>
        <t>[Threaded comment]
Your version of Excel allows you to read this threaded comment; however, any edits to it will get removed if the file is opened in a newer version of Excel. Learn more: https://go.microsoft.com/fwlink/?linkid=870924
Comment:
    6m salko jaettu metrin mittaiseksi.
 5,4 CO2e / 6 = 0,9 CO2e
https://catalog.pipelife.com/fi/article/190845/70001340-fi-pe-cable-pipe-110-95-sn8-b-6m-ye?categoryurl=tuplaputket-181189&amp;regionalid=188757</t>
      </text>
    </comment>
    <comment ref="K510" authorId="208" shapeId="0" xr:uid="{25D5B3E8-A407-4733-8CD9-525DB9D4ABC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Valmistajan kerroin * Paksuus kerroin / m²
2,46 kg CO₂e * 1,58 </t>
      </text>
    </comment>
    <comment ref="G537" authorId="209" shapeId="0" xr:uid="{6CA46CE6-A237-43C6-86B9-685607EE4EE8}">
      <text>
        <t>[Threaded comment]
Your version of Excel allows you to read this threaded comment; however, any edits to it will get removed if the file is opened in a newer version of Excel. Learn more: https://go.microsoft.com/fwlink/?linkid=870924
Comment:
    Kuparin CO2e sivu 3
https://co2data.fi/infra/reports/INFRA%20muut%20metallituotteet%20R01.05.pdf</t>
      </text>
    </comment>
    <comment ref="H538" authorId="210" shapeId="0" xr:uid="{59E01925-7CDF-4E14-8B20-30C42BD7EAF3}">
      <text>
        <t>[Threaded comment]
Your version of Excel allows you to read this threaded comment; however, any edits to it will get removed if the file is opened in a newer version of Excel. Learn more: https://go.microsoft.com/fwlink/?linkid=870924
Comment:
    Co2data.fi 16mm2 kupariköyden CO2e arvo 0,59 kerrottuna 25mm2 ja 16mm2 suhteella.</t>
      </text>
    </comment>
    <comment ref="F539" authorId="211" shapeId="0" xr:uid="{DDBE1C24-BA40-4B88-8B8D-4316E6172A6E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https://www.sahkonumerot.fi/5040306</t>
      </text>
    </comment>
    <comment ref="F540" authorId="212" shapeId="0" xr:uid="{B2ABF474-2419-44D7-AB07-3A6FD60D616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https://www.sahkonumerot.fi/5026089</t>
      </text>
    </comment>
    <comment ref="G540" authorId="213" shapeId="0" xr:uid="{D894739C-ACC0-4C57-A556-C9B2926C4C0B}">
      <text>
        <t>[Threaded comment]
Your version of Excel allows you to read this threaded comment; however, any edits to it will get removed if the file is opened in a newer version of Excel. Learn more: https://go.microsoft.com/fwlink/?linkid=870924
Comment:
    "PE:n hiilijalanjälki elinkaarivaiheille A1-A3 on 2,41 kg CO2e/kg "
Sivu 10
https://co2data.fi/infra/reports/INFRA%20muovituotteet%20R01.04.pdf</t>
      </text>
    </comment>
    <comment ref="H549" authorId="214" shapeId="0" xr:uid="{D8B7BDE4-ECF6-46A9-8FB6-8E59798B9B1B}">
      <text>
        <t>[Threaded comment]
Your version of Excel allows you to read this threaded comment; however, any edits to it will get removed if the file is opened in a newer version of Excel. Learn more: https://go.microsoft.com/fwlink/?linkid=870924
Comment:
    Kupariköysi hiilijalanjälki
16mm2 =  0.59 kg CO2e/m
4.2 kg CO2e/kg
Päästöt laskettu poikkipinta-alan ja painon mukaan co2datan tietojen perusteella
Sivuilla 13-14
https://co2data.fi/infra/reports/INFRA%20muut%20metallituotteet%20R01.05.pdf</t>
      </text>
    </comment>
    <comment ref="E550" authorId="215" shapeId="0" xr:uid="{63AAABBB-C5DE-4449-BC66-B7D2E4DDE10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https://www.epd-norge.no/getfile.php/1332450-1683543535/EPDer/Byggevarer/St%C3%A5lkonstruksjoner/NEPD-4425-3644_Letti-sinkbelagte-klammer.pdf</t>
      </text>
    </comment>
    <comment ref="F551" authorId="216" shapeId="0" xr:uid="{A151A78B-FC26-4B94-BF5A-B15D8AE801A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https://www.sahkonumerot.fi/5026089</t>
      </text>
    </comment>
    <comment ref="G551" authorId="217" shapeId="0" xr:uid="{F63E072E-620B-4A7B-9E05-C33F3AF3B04C}">
      <text>
        <t>[Threaded comment]
Your version of Excel allows you to read this threaded comment; however, any edits to it will get removed if the file is opened in a newer version of Excel. Learn more: https://go.microsoft.com/fwlink/?linkid=870924
Comment:
    "PE:n hiilijalanjälki elinkaarivaiheille A1-A3 on 2,41 kg CO2e/kg "
Sivu 10
https://co2data.fi/infra/reports/INFRA%20muovituotteet%20R01.04.pdf</t>
      </text>
    </comment>
    <comment ref="E552" authorId="218" shapeId="0" xr:uid="{9C3F687F-BF2C-4390-9B3C-A20CF597EE3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https://www.onninen.fi/onnline-sinkila-onnline-maadoituskoydelle-35x10ks/p/ACI561</t>
      </text>
    </comment>
    <comment ref="G552" authorId="219" shapeId="0" xr:uid="{5E43566B-B21F-4928-8208-FF7B9D7B439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>
      </text>
    </comment>
    <comment ref="E553" authorId="220" shapeId="0" xr:uid="{76367733-7241-441E-8A19-328806F714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https://www.sahkonumerot.fi/5043328
</t>
      </text>
    </comment>
    <comment ref="G553" authorId="221" shapeId="0" xr:uid="{775C3DB6-8B0B-4C80-BB1E-E17D2AFBA11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>
      </text>
    </comment>
    <comment ref="C563" authorId="222" shapeId="0" xr:uid="{34395F70-BEA4-4933-B93D-DB92E1CF284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https://kesko-onninen-pim-resources-production.s3-eu-west-1.amazonaws.com/pimdocuments/FISTK_0122259_10052.pdf</t>
      </text>
    </comment>
    <comment ref="C571" authorId="223" shapeId="0" xr:uid="{091345DB-D3AF-4537-A10A-2323568D9221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https://brandportal.uponor.com/m/3222ca3d072d6661/original/Uponor-EPD_-Aqua-Pipe.pdf</t>
      </text>
    </comment>
    <comment ref="C572" authorId="224" shapeId="0" xr:uid="{A7F1FD4F-335A-409D-949F-03ECA82C217B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https://brandportal.uponor.com/m/561ad34ca14845cd/original/Uponor-EPD-Radi-Pipe-EPD-Hub-EN.pdf</t>
      </text>
    </comment>
    <comment ref="C573" authorId="225" shapeId="0" xr:uid="{51C4FFE7-D261-4B43-A9D8-9BA82B85A62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https://brandportal.uponor.com/m/22e51a642102047e/original/Environmental-Product-Declaration-EPD-Klett-Pipe.pdf</t>
      </text>
    </comment>
    <comment ref="E584" authorId="226" shapeId="0" xr:uid="{605535B9-D11B-4D66-AA20-638571F7AD33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https://www.reka.fi/tuoteryhma/ahxamk-wm-12-20-24-kv-3-johdin/
Tässä mallissa teräksinen kannatinköysi.</t>
      </text>
    </comment>
    <comment ref="F584" authorId="227" shapeId="0" xr:uid="{9A9451ED-C789-4427-8D2B-4CBDF67B196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
Tässä mallissa ei ole kannatinköyttä lainkaan.</t>
      </text>
    </comment>
    <comment ref="I584" authorId="228" shapeId="0" xr:uid="{1D6EA535-D997-4BED-A124-6B35D985824D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https://www.reka.fi/tuoteryhma/ahxamk-wp-12-20-24-kv-3-johdin/
Tässä mallissa ei ole kannatinköyttä lainkaan.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<sst xmlns="http://schemas.openxmlformats.org/spreadsheetml/2006/main" count="2459" uniqueCount="884">
  <si>
    <t>Valmistajalta:</t>
  </si>
  <si>
    <t>Ympäristöselosteet:</t>
  </si>
  <si>
    <t>Arvioitu:</t>
  </si>
  <si>
    <t>rivi</t>
  </si>
  <si>
    <t>EV-yksikkö</t>
  </si>
  <si>
    <t>yht. kg CO₂e</t>
  </si>
  <si>
    <t>Komponentit yht.</t>
  </si>
  <si>
    <t>Komponentti 1</t>
  </si>
  <si>
    <t>Lähde</t>
  </si>
  <si>
    <t>kg CO₂e</t>
  </si>
  <si>
    <t>Komponentti 2</t>
  </si>
  <si>
    <t>Komponentti 3</t>
  </si>
  <si>
    <t>Komponentti 4</t>
  </si>
  <si>
    <t>Komponentti 5</t>
  </si>
  <si>
    <t>Komponentti 6</t>
  </si>
  <si>
    <t>Komponentti 7</t>
  </si>
  <si>
    <t>Komponentti 8</t>
  </si>
  <si>
    <t>Asennuksen kuvaus</t>
  </si>
  <si>
    <t>Asennus kg CO₂e</t>
  </si>
  <si>
    <t>Maanrakennuksen kuvaus</t>
  </si>
  <si>
    <t>Logistiigan kuvaus</t>
  </si>
  <si>
    <t>AMKA 16 -25 mm2</t>
  </si>
  <si>
    <t>km</t>
  </si>
  <si>
    <t>Johdin</t>
  </si>
  <si>
    <t>Valmistajalta</t>
  </si>
  <si>
    <t>Arvioitu</t>
  </si>
  <si>
    <t>Kulmarakenne tukipylväällä</t>
  </si>
  <si>
    <t>Kalliotukivarustus</t>
  </si>
  <si>
    <t>Pylväsmaadoitus</t>
  </si>
  <si>
    <t>AMKA 35 - 50 mm2</t>
  </si>
  <si>
    <t>AMKA 70 mm2</t>
  </si>
  <si>
    <t>AMKA 120 mm2</t>
  </si>
  <si>
    <t>0,4 kV jakokaappi, In enintään 630 A: ei metallinen (leveys alle 400 mm)</t>
  </si>
  <si>
    <t>kpl</t>
  </si>
  <si>
    <t>Jakokaappi</t>
  </si>
  <si>
    <t>Kiskot</t>
  </si>
  <si>
    <t>Maadoitus</t>
  </si>
  <si>
    <t>0,4 kV jakokaappi, In enintään 630 A: ei metallinen 00 (400 - alle 600 mm)</t>
  </si>
  <si>
    <t>0,4 kV jakokaappi, In enintään 630 A: ei metallinen 0 (600 - alle 800 mm)</t>
  </si>
  <si>
    <t>0,4 kV jakokaappi, In enintään 630 A: ei metallinen 01 (800 - alle 990 mm)</t>
  </si>
  <si>
    <t>0,4 kV jakokaappi, In enintään 630 A: ei metallinen 02 tai 03 (990 - alle 1200 mm ja yli
1200 mm)</t>
  </si>
  <si>
    <t>0,4 kV jakokaappi, In 1000 A tai yli: ei metallinen 03 (1200 mm ja yli)</t>
  </si>
  <si>
    <t>0,4 kV jakokaappi, In 630 A: metallinen (leveys alle 400 mm)</t>
  </si>
  <si>
    <t>0,4 kV jakokaappi, In 630 A: metallinen 00 (400 - alle 600 mm)</t>
  </si>
  <si>
    <t>0,4 kV jakokaappi, In 630 A: metallinen 0 (600 - alle 800 mm)</t>
  </si>
  <si>
    <t>0,4 kV jakokaappi, In 630 A: metallinen 01 (800 - alle 990 mm)</t>
  </si>
  <si>
    <t>0,4 kV jakokaappi, In 630 A: metallinen 02 (990 - alle 1200 mm)</t>
  </si>
  <si>
    <t>0,4 kV jakokaappi, In 630 A: metallinen 03 (1200 mm ja yli)</t>
  </si>
  <si>
    <t>0,4 kV jakokaappi, In 1000 A tai yli: metallinen 03 (1200 mm ja yli)</t>
  </si>
  <si>
    <t>0,4 kV Maakaapeli 25 mm2 tai pienempi</t>
  </si>
  <si>
    <t>Kaapeli</t>
  </si>
  <si>
    <t>0,4 kV Maakaapeli 35 mm2</t>
  </si>
  <si>
    <t>0,4 kV Maakaapeli 50 mm2</t>
  </si>
  <si>
    <t>0,4 kV Maakaapeli 70 mm2</t>
  </si>
  <si>
    <t>0,4 kV Maakaapeli 95 mm2</t>
  </si>
  <si>
    <t>0,4 kV Maakaapeli 120 mm2</t>
  </si>
  <si>
    <t>0,4 kV Maakaapeli 150 mm2</t>
  </si>
  <si>
    <t>0,4 kV Maakaapeli 185 mm2</t>
  </si>
  <si>
    <t>0,4 kV Maakaapeli 240 mm2</t>
  </si>
  <si>
    <t>0,4 kV Maakaapeli 300 mm2</t>
  </si>
  <si>
    <t>0,4 kV haaroituskaappi</t>
  </si>
  <si>
    <t>Haaroituskaappi</t>
  </si>
  <si>
    <t>0,4 kV Jakokaapin kiskoliitin</t>
  </si>
  <si>
    <t>Kiskoliitin</t>
  </si>
  <si>
    <t>0,4 kV jonovarokekytkin enintään 100 A</t>
  </si>
  <si>
    <t>Jonovarokekytkin</t>
  </si>
  <si>
    <t>0,4 kV jonovarokekytkin 160 A</t>
  </si>
  <si>
    <t>0,4 kV jonovarokekytkin 250 A</t>
  </si>
  <si>
    <t>0,4 kV jonovarokekytkin 400 A</t>
  </si>
  <si>
    <t>0,4 kV jonovarokekytkin 630 A</t>
  </si>
  <si>
    <t>0,4 kV jonovarokekytkin yli 630 A</t>
  </si>
  <si>
    <t>1 / 0,4 kV Muuntaja vähintään 100 kVA</t>
  </si>
  <si>
    <t>Muuntaja</t>
  </si>
  <si>
    <t>1 / 0,4 kV Muuntaja 30 kVA</t>
  </si>
  <si>
    <t>1 / 0,4 kV Muuntaja 50 kVA</t>
  </si>
  <si>
    <t>1 kV / 0,4 kV puistomuuntamo</t>
  </si>
  <si>
    <t>Koppi</t>
  </si>
  <si>
    <t>Perustus</t>
  </si>
  <si>
    <t>Muuntaja 30 kVA, tier 2</t>
  </si>
  <si>
    <t>Muuntaja 50 kVA, tier 2</t>
  </si>
  <si>
    <t>Muuntaja 100 kVA, tier 2</t>
  </si>
  <si>
    <t>Muuntaja 200 kVA, tier 2</t>
  </si>
  <si>
    <t>Muuntaja 315 kVA, tier 2</t>
  </si>
  <si>
    <t>Muuntaja 400 kVA, tier 2</t>
  </si>
  <si>
    <t>Muuntaja 500 kVA, tier 2</t>
  </si>
  <si>
    <t>Muuntaja 630 kVA, tier 2</t>
  </si>
  <si>
    <t>Muuntaja 800 kVA, tier 2</t>
  </si>
  <si>
    <t>Muuntaja 1000 kVA, tier 2</t>
  </si>
  <si>
    <t>Muuntaja 1250 kVA, tier 2</t>
  </si>
  <si>
    <t>Muuntaja 1600 kVA, tier 2</t>
  </si>
  <si>
    <t>20 / 0,4 kV Pylväsmuuntamo: 1-pylväsmuuntamo</t>
  </si>
  <si>
    <t>Erotin</t>
  </si>
  <si>
    <t>SYKE</t>
  </si>
  <si>
    <t>Nousujohdot</t>
  </si>
  <si>
    <t>Valmistaja</t>
  </si>
  <si>
    <t>20 / 0,4 kV Pylväsmuuntamo: 2-pylväsmuuntamo</t>
  </si>
  <si>
    <t xml:space="preserve">SPARROW </t>
  </si>
  <si>
    <t>RAVEN</t>
  </si>
  <si>
    <t>PIGEON</t>
  </si>
  <si>
    <t>Päällystetty avojohto 95 mm2</t>
  </si>
  <si>
    <t>Päällystetty avojohto 160 mm2</t>
  </si>
  <si>
    <t>Yleiskaapeli 70 mm2 tai pienempi</t>
  </si>
  <si>
    <t>Yleiskaapeli 95 mm2</t>
  </si>
  <si>
    <t>Yleiskaapeli 120 mm2</t>
  </si>
  <si>
    <t>Yleiskaapeli 150 mm2</t>
  </si>
  <si>
    <t>20 kV Ilmajohtoverkon erotinasema: 1 erotin</t>
  </si>
  <si>
    <t>Vetoeristin</t>
  </si>
  <si>
    <t>20 kV Ilmajohtoverkon erotinasema: 2 erotinta</t>
  </si>
  <si>
    <t>20 kV Ilmajohtoverkon erotinasema: 3 erotinta</t>
  </si>
  <si>
    <t>20 kV Ilmajohtoverkon erotinasema: 4 erotinta</t>
  </si>
  <si>
    <t>20 kV Ilmajohtoverkon johtoerotin: kevyt</t>
  </si>
  <si>
    <t>20 kV Ilmajohtoverkon johtoerotin: katkaisukammiolla varustettu</t>
  </si>
  <si>
    <t>20 kV Maakaapeli 70 mm2 tai pienempi: Ilman keskusköyttä</t>
  </si>
  <si>
    <t>20 kV Maakaapeli 95 mm2: Ilman keskusköyttä</t>
  </si>
  <si>
    <t>20 kV Maakaapeli 150 mm2: Ilman keskusköyttä</t>
  </si>
  <si>
    <t>20 kV Maakaapeli 185 mm2: Ilman keskusköyttä</t>
  </si>
  <si>
    <t>20 kV Maakaapeli 240 mm2: Ilman keskusköyttä</t>
  </si>
  <si>
    <t>20 kV Maakaapeli 70 mm2 tai pienempi: keskusköydellä</t>
  </si>
  <si>
    <t>20 kV Maakaapeli 95 mm2: keskusköydellä</t>
  </si>
  <si>
    <t>20 kV Maakaapeli 120 mm2: keskusköydellä</t>
  </si>
  <si>
    <t>20 kV Maakaapeli 150 mm2: keskusköydellä</t>
  </si>
  <si>
    <t>20 kV Maakaapeli 185 mm2: keskusköydellä</t>
  </si>
  <si>
    <t>20 kV Maakaapeli 240 mm2: keskusköydellä</t>
  </si>
  <si>
    <t>20 kV Maakaapeli 300 mm2: keskusköydellä</t>
  </si>
  <si>
    <t>20 kV Maakaapeliverkon erotinasema: puistomuuntamotyyppinen rakenne luokka 1: 1 kenno erottimella</t>
  </si>
  <si>
    <t>20 kV Maakaapeliverkon erotinasema: puistomuuntamotyyppinen rakenne luokka 2: 2 kennoa erottimilla</t>
  </si>
  <si>
    <t>20 kV Maakaapeliverkon erotinasema: puistomuuntamotyyppinen rakenne luokka 3: 3 kennoa erottimilla</t>
  </si>
  <si>
    <t>20 kV Maakaapeliverkon erotinasema: puistomuuntamotyyppinen rakenne luokka 4: 4 kennoa erottimilla</t>
  </si>
  <si>
    <t>20 kV Maakaapeliverkon erotinasema: puistomuuntamotyyppinen rakenne luokka 5: vähintään 5 kennoa erottimilla</t>
  </si>
  <si>
    <t>20 kV Vesistökaapeli 70 mm2 tai pienempi</t>
  </si>
  <si>
    <t>Betonipaino</t>
  </si>
  <si>
    <t>20 kV Vesistökaapeli 95 mm2</t>
  </si>
  <si>
    <t>20 kV Vesistökaapeli 120 mm2</t>
  </si>
  <si>
    <t>20 kV Vesistökaapeli 150 mm2</t>
  </si>
  <si>
    <t>20 kV Vesistökaapeli 185 mm2</t>
  </si>
  <si>
    <t>20 kV Vesistökaapeli 240 mm2</t>
  </si>
  <si>
    <t>20 kV Vesistökaapeli 300 mm2 tai suurempi</t>
  </si>
  <si>
    <t>20 kV Vesistökaapelin rantautuminen</t>
  </si>
  <si>
    <t>20 kV Armeeratun vesistökaapelin rantautuminen</t>
  </si>
  <si>
    <t>1. Helppo: asemakaavan ja muiden olosuhteiden ulkopuolinen alue, 0,4 KV - 45 KV</t>
  </si>
  <si>
    <t>2. Tavallinen: Asemakaavan sisällä mutta muiden olosuhteiden ulkopuolella, 0,4 KV - 45 KV</t>
  </si>
  <si>
    <t>3. Tavallinen: Maanpäälliset kallioalueet sekä kallioinen maaperä tavallisessa tai helpossa olosuhteessa, 0,4 KV - 45 KV</t>
  </si>
  <si>
    <t>4. Vaikea: Sisempi kaupunkialue, 0,4 KV - 45 KV</t>
  </si>
  <si>
    <t>5. Erittäin vaikea: Suurkaupunkien alakeskukset sekä kaupunkiseudun keskusta-alueet, 0,4 KV - 45 KV</t>
  </si>
  <si>
    <t>Kaapeliojaan asennettava erillinen maadoitusjohdin Cu 16 mm2</t>
  </si>
  <si>
    <t>Maadoitusjohdin</t>
  </si>
  <si>
    <t>Kaapeliojaan asennettava erillinen maadoitusjohdin Cu 25 mm2</t>
  </si>
  <si>
    <t>Kaapeliojaan asennettava erillinen maadoitusjohdin Cu 35 mm2</t>
  </si>
  <si>
    <t>Kaapeliojaan asennettava erillinen maadoitusjohdin Cu 50 mm2</t>
  </si>
  <si>
    <t>Kaapeliojaan asennettava erillinen maadoitusjohdin Cu 70 mm2</t>
  </si>
  <si>
    <t>Kaapeliojaan asennettava erillinen maadoitusjohdin Cu 95 mm2 tai suurempi</t>
  </si>
  <si>
    <t>Puistomuuntamo: ulkoa hoidettava luokka 0, pj-keskuksen In enintään 630 A, ilman erotinta</t>
  </si>
  <si>
    <t>Puistomuuntamo: ulkoa hoidettava luokka 1, pj-keskuksen In enintään 630 A, 1 kenno erottimella</t>
  </si>
  <si>
    <t>Erotin (SF6 vapaa)</t>
  </si>
  <si>
    <t>Puistomuuntamo: ulkoa hoidettava luokka 2, pj-keskuksen In enintään 630 A, 2 kennoa erottimilla</t>
  </si>
  <si>
    <t>Puistomuuntamo: ulkoa hoidettava luokka 3, pj-keskuksen In enintään 630 A, 3 kennoa erottimilla</t>
  </si>
  <si>
    <t>Puistomuuntamo: ulkoa hoidettava luokka 4, pj-keskuksen In enintään 630 A, 4 kennoa erottimilla</t>
  </si>
  <si>
    <t>Puistomuuntamo: ulkoa hoidettava luokka 1, pj-keskuksen In yli 630 A, enintään 1 kenno erottimella</t>
  </si>
  <si>
    <t>Puistomuuntamo: ulkoa hoidettava luokka 2, pj-keskuksen In yli 630 A, 2 kennoa erottimilla</t>
  </si>
  <si>
    <t>Puistomuuntamo: ulkoa hoidettava luokka 3, pj-keskuksen In yli 630 A, 3 kennoa erottimilla</t>
  </si>
  <si>
    <t>Puistomuuntamo: ulkoa hoidettava luokka 4, pj-keskuksen In yli 630 A, 4 kennoa erottimilla</t>
  </si>
  <si>
    <t>Puistomuuntamo: ulkoa hoidettava luokka 5, pj-keskuksen In yli 630 A, vähintään 5 kennoa erottimilla</t>
  </si>
  <si>
    <t>Paloeristetty puistomuuntamo luokka 1: enintään 4 kennoa erottimilla</t>
  </si>
  <si>
    <t>Paloeristetty puistomuuntamo luokka 2: vähintään 5 kennoa erottimilla</t>
  </si>
  <si>
    <t>Kiinteistömuuntamo luokka 1: enintään 3 kennoa erottimilla</t>
  </si>
  <si>
    <t>Kiinteistömuuntamo luokka 2: 4 kennoa erottimilla</t>
  </si>
  <si>
    <t>Kiinteistömuuntamo luokka 3: vähintään 5 kennoa erottimilla</t>
  </si>
  <si>
    <t>Kaksoispuistomuuntamo: vähintään 4 kennoa erottimilla</t>
  </si>
  <si>
    <t>Paloeristetty kaksoispuistomuuntamo: vähintään 4 kennoa erottimineen</t>
  </si>
  <si>
    <t>Kaksoiskiinteistömuuntamo: vähintään 4 kennoa erottimilla</t>
  </si>
  <si>
    <t>Muuntaja 20 / 10 kV</t>
  </si>
  <si>
    <t>Muuntaja 45 / 20 kV</t>
  </si>
  <si>
    <t>Oletusarvo</t>
  </si>
  <si>
    <t>Yhtiökohtainen arvo</t>
  </si>
  <si>
    <t>m/h</t>
  </si>
  <si>
    <t>Työmaan keskimääräinen etäisyys toimipisteeltä (asentajat)</t>
  </si>
  <si>
    <t>Työmaan keskimääräinen etäisyys toimipisteeltä (maanrakentajat)</t>
  </si>
  <si>
    <t>Logistiikan keskimääräinen toimitusetäisyys</t>
  </si>
  <si>
    <r>
      <t>Asentajien käytössä olevan auton CO</t>
    </r>
    <r>
      <rPr>
        <sz val="11"/>
        <color theme="1"/>
        <rFont val="Aptos Narrow"/>
        <family val="2"/>
      </rPr>
      <t>₂ päästö</t>
    </r>
  </si>
  <si>
    <t>yksikkö</t>
  </si>
  <si>
    <t>yht. (kg CO₂e)</t>
  </si>
  <si>
    <t>Toteutuneet määrät</t>
  </si>
  <si>
    <t>Komponentit</t>
  </si>
  <si>
    <t>Asennus</t>
  </si>
  <si>
    <t>Maanrakennus</t>
  </si>
  <si>
    <t>Logistiikka</t>
  </si>
  <si>
    <t>Maarakennus</t>
  </si>
  <si>
    <t>Huom.</t>
  </si>
  <si>
    <t>Laskettu</t>
  </si>
  <si>
    <t>Raportoitu</t>
  </si>
  <si>
    <t>X</t>
  </si>
  <si>
    <t>Yht.</t>
  </si>
  <si>
    <t>t CO2 e</t>
  </si>
  <si>
    <t>Kulmarakenne A-pylväällä</t>
  </si>
  <si>
    <t>Harussarja</t>
  </si>
  <si>
    <t>Kaivuu</t>
  </si>
  <si>
    <t>Auraus</t>
  </si>
  <si>
    <t>Louhinta</t>
  </si>
  <si>
    <t>Asfaltointi</t>
  </si>
  <si>
    <r>
      <t>m</t>
    </r>
    <r>
      <rPr>
        <sz val="11"/>
        <color theme="1"/>
        <rFont val="Aptos Narrow"/>
        <family val="2"/>
      </rPr>
      <t>²</t>
    </r>
  </si>
  <si>
    <t>Kuorinta</t>
  </si>
  <si>
    <t>Kaivun etenemisen nopeus eri maanrakennusluokissa (1-5):</t>
  </si>
  <si>
    <r>
      <t>Maanrakentajien käytössä olevan auton CO</t>
    </r>
    <r>
      <rPr>
        <sz val="11"/>
        <color theme="1"/>
        <rFont val="Aptos Narrow"/>
        <family val="2"/>
      </rPr>
      <t>₂ päästö</t>
    </r>
  </si>
  <si>
    <t>Asennuskerran ajot yhteensä</t>
  </si>
  <si>
    <t>Suomi</t>
  </si>
  <si>
    <t>Keski-Suomi</t>
  </si>
  <si>
    <t>Uusimaa</t>
  </si>
  <si>
    <t>Käytetyn ajoneuvon päästöt / km</t>
  </si>
  <si>
    <t>Asentajien kulkemisen päästö</t>
  </si>
  <si>
    <t>Maanrakentajien kulkemisen päästö</t>
  </si>
  <si>
    <r>
      <t>g CO</t>
    </r>
    <r>
      <rPr>
        <sz val="11"/>
        <color theme="1"/>
        <rFont val="Aptos Narrow"/>
        <family val="2"/>
      </rPr>
      <t>₂</t>
    </r>
    <r>
      <rPr>
        <sz val="11"/>
        <color theme="1"/>
        <rFont val="Aptos Narrow"/>
        <family val="2"/>
        <scheme val="minor"/>
      </rPr>
      <t>/km</t>
    </r>
  </si>
  <si>
    <t>kg CO₂/työmaakäynti</t>
  </si>
  <si>
    <t>Asentajien ja urakoitsijoiden kulkeminen työmaalle</t>
  </si>
  <si>
    <t>Kuorma (%)</t>
  </si>
  <si>
    <t>Keskiarvo</t>
  </si>
  <si>
    <t>Täysperävaunuyhdistelmä (60t)</t>
  </si>
  <si>
    <t>Maantieajo (g CO2e /tkm)</t>
  </si>
  <si>
    <t>Kaupunkiajo (g CO2e /tkm)</t>
  </si>
  <si>
    <t>Logistiikan päästö</t>
  </si>
  <si>
    <t>g CO2e /tkm</t>
  </si>
  <si>
    <t>Johdin 50mm2</t>
  </si>
  <si>
    <t>Johdin 25mm2</t>
  </si>
  <si>
    <t>Kaapeli 400kg + kela 170kg</t>
  </si>
  <si>
    <t>Kaapeli 730kg + Kela 170kg</t>
  </si>
  <si>
    <t>Kaapeli 1000kg + Kela 213kg</t>
  </si>
  <si>
    <t>Kaapeli 1500kg + Kela 334kg</t>
  </si>
  <si>
    <t>Kaapeli 458kg + Kela 170kg</t>
  </si>
  <si>
    <t>Kaapeli 571kg + Kela 170kg</t>
  </si>
  <si>
    <t>Kaapeli 765kg + Kela 170kg</t>
  </si>
  <si>
    <t>Kaapeli 1056kg + Kela 213kg</t>
  </si>
  <si>
    <t>Kaapeli 1385kg + Kela 290kg</t>
  </si>
  <si>
    <t>Kaapeli 1743kg + Kela 344kg</t>
  </si>
  <si>
    <t>Kaapeli 2138kg + Kela 2*290kg</t>
  </si>
  <si>
    <t>Kaapeli 2608kg + Kela 2*344kg</t>
  </si>
  <si>
    <t>Kaapeli 3447kg + Kela 2*344kg</t>
  </si>
  <si>
    <t>Kaapeli 4174kg + Kela 2*701kg</t>
  </si>
  <si>
    <t>Muuntaja 690kg</t>
  </si>
  <si>
    <t>Muuntaja 340kg</t>
  </si>
  <si>
    <t>Muuntaja 460kg</t>
  </si>
  <si>
    <t>Muuntaja 2030kg</t>
  </si>
  <si>
    <t>Muuntaja 2780kg</t>
  </si>
  <si>
    <t>Muuntaja 850kg</t>
  </si>
  <si>
    <t>Muuntaja 1290kg</t>
  </si>
  <si>
    <t>Muuntaja 3400kg</t>
  </si>
  <si>
    <t>Muuntaja 1620kg</t>
  </si>
  <si>
    <t>Muuntaja 560kg</t>
  </si>
  <si>
    <t>Muuntaja 480kg</t>
  </si>
  <si>
    <t>Muuntaja 3410kg</t>
  </si>
  <si>
    <t>Muuntaja 2420kg</t>
  </si>
  <si>
    <t>Muuntaja 1780kg</t>
  </si>
  <si>
    <t>Muuntaja 3980kg</t>
  </si>
  <si>
    <t>Arvioidut komponentit: (esim. ilmajohtimien kiinnitystarvikkeet, harukset, jakokaapit ja niiden kiskot, maadoitukset)</t>
  </si>
  <si>
    <t>Arviointi on tehty komponenttien päämateriaalien painojen ja niiden päästötietojen perusteella.</t>
  </si>
  <si>
    <t>Komponenttien painotiedot ovat valmistajien ilmoittamia tai muussa tapauksessa tukkurien ilmoittamista tiedoista.</t>
  </si>
  <si>
    <t>Tutkimusprojektissa lähetettiin kyselyitä valmistajille ja tukkureille komponenttien päästötietojen selvittämiseksi.</t>
  </si>
  <si>
    <t>Eri kokoisille puistomuuntamoille (ilman muuntajaa) saatiin valmistajalta arviot hiilijalanjäljestä. Hiilijalanjälkilaskennassa on huomioitu tuotteen komponenttien tai osien pääraaka-aineiden aiheuttama hiilijalanjälki.</t>
  </si>
  <si>
    <t>Lähtöarvot:</t>
  </si>
  <si>
    <t>Sisältää EV-yksiköiden päästötiedot. EV-yksikkö saattaa sisältää useamman komponentin, jotka on eritelty komponentti 1, komponentti 2, jne.</t>
  </si>
  <si>
    <t>Logistiikan päästöarvio on tehty isommille komponenteille, kuten muuntajille ja kaapeleille tonnikilometriperusteisella arvioinnilla.</t>
  </si>
  <si>
    <t>Välilehdet:</t>
  </si>
  <si>
    <t>Ev-yksikkö saattaa sisältää asennuksen, jolloin asennuksen päästöarvio muodostuu asentajien kulkemasta matkasta ajoneuvolla toimipisteeltä työmaalle ja takaisin toimipisteelle.</t>
  </si>
  <si>
    <t>Yhtiökohtaiset arvot:</t>
  </si>
  <si>
    <t>Määrät:</t>
  </si>
  <si>
    <t>Tulos:</t>
  </si>
  <si>
    <t>(175) Luokka 1: Pelkkä auraus haja-asutusalueella</t>
  </si>
  <si>
    <t>(176) Luokka 2: Pelkkä kaivu haja-asutusalueella</t>
  </si>
  <si>
    <t>(177) Luokka 3: Pelkkä louhinta sisältäen pintamaan poiston</t>
  </si>
  <si>
    <t>(178) Luokka 4: Pelkkä kaivu taajamassa</t>
  </si>
  <si>
    <t>(179) Luokka 5: Pelkkä kaivu kaupungissa</t>
  </si>
  <si>
    <t>Tällä välilehdellä on oletusarvot (kaapelinkaivun etenemisnopeus) maanrakennuksen arvoille (EV-yksiköiden rivit 175-179).</t>
  </si>
  <si>
    <t>Samoin oletusarvot logistiikan etäisyydelle ja logistiikanpäästölle (tkm).</t>
  </si>
  <si>
    <t>https://sahkonumerot.fi/5708507/doc/environmentalproductdeclaration/</t>
  </si>
  <si>
    <t>https://www.epd-norge.no/getfile.php/13185643-1741664627/EPDer/Byggevarer/NEPD-5473-4764_NAL-----MV-indoor-air-switch-disconnector.pdf</t>
  </si>
  <si>
    <t>https://www.epd-norge.no/getfile.php/13191502-1741690822/EPDer/Byggevarer/Heltreprodukter/NEPD-6060-5313_Utility-poles-made-of-pine--u-20---treated-with-copper-solution.pdf</t>
  </si>
  <si>
    <t>https://img3.materialbank.net/NiboWEB/reka/getPublicImage.do?ticket=7&amp;type=original&amp;name=PEP%20NXNS-00437-V01.01-EN.pdf</t>
  </si>
  <si>
    <t>https://img3.materialbank.net/NiboWEB/reka/getPublicImage.do?ticket=7&amp;type=original&amp;name=PEP%20NXNS-00428-V01.01-EN.pdf</t>
  </si>
  <si>
    <t>https://img3.materialbank.net/NiboWEB/reka/getPublicImage.do?ticket=7&amp;type=original&amp;name=PEP%20NXNS-00450-V01.01-EN.pdf</t>
  </si>
  <si>
    <t>https://sahkonumerot.fi/5411202/doc/environmentalproductdeclaration/?_gl=1*gwju7j*_ga*MTgzMDQ2MDAxNC4xNzA2MTgzMDEy*_ga_FR81BJWHT5*MTcwOTAyMjY3My44LjEuMTcwOTAyMjc3NS4wLjAuMA</t>
  </si>
  <si>
    <t>https://search.abb.com/library/Download.aspx?DocumentID=2CGD001327S1000&amp;LanguageCode=en&amp;DocumentPartId=&amp;Action=Launch</t>
  </si>
  <si>
    <t>https://library.e.abb.com/public/bac306da5cd446d2ba0c6c3b6815c526/ABBG-00192-V01.01-EN.pdf?x-sign=q1UG56kG3B5DyjuLL8xwmnqcaT3vYKASh2NfTxG0zA2epykJ7EZlLGgNzx6z7Q3K</t>
  </si>
  <si>
    <t>https://library.e.abb.com/public/2d91df0a6a6d418488c4822ac382efef/ABBG-00314-V01.01-EN.pdf</t>
  </si>
  <si>
    <t>ACSR Johdin</t>
  </si>
  <si>
    <t>https://www.epditaly.it/en/wp-content/uploads/2021/12/EPD_RTI-ENVERTEC-Ltd_-Polymeric-insulators.pdf</t>
  </si>
  <si>
    <t>Haettu</t>
  </si>
  <si>
    <t xml:space="preserve"> 4/2025</t>
  </si>
  <si>
    <t>Logistiikka:</t>
  </si>
  <si>
    <t>https://co2data.fi/infra/reports/INFRA%20kuljetukset%20R01.01.pdf</t>
  </si>
  <si>
    <t>Sivu 5</t>
  </si>
  <si>
    <t>Laskentatapa:</t>
  </si>
  <si>
    <t>https://ghgprotocol.org/sites/default/files/2023-03/Scope3_Calculation_Guidance_0%5B1%5D.pdf</t>
  </si>
  <si>
    <t>Harussarja HL43 1x25 mm2 taiv. harusraudalla</t>
  </si>
  <si>
    <t>Muuntaja 20 / 0,4 kV</t>
  </si>
  <si>
    <t>Jakokaapin kiskot</t>
  </si>
  <si>
    <t>Muuntaja 1 / 0,4 kV</t>
  </si>
  <si>
    <t>Harussarja eristimellä</t>
  </si>
  <si>
    <t>ACSR Johdin:</t>
  </si>
  <si>
    <t>Betonipaino (vesistökaapelin upotuspaino):</t>
  </si>
  <si>
    <t>Haaroituskaappi:</t>
  </si>
  <si>
    <t>Harussarja:</t>
  </si>
  <si>
    <t>Harussarja eristimellä:</t>
  </si>
  <si>
    <t>Jakokaappi:</t>
  </si>
  <si>
    <t>Jonovarokekytkin 160A:</t>
  </si>
  <si>
    <t>Kalliotukivarustus:</t>
  </si>
  <si>
    <t>Kiskoliitin:</t>
  </si>
  <si>
    <t>Jakokaapin kiskot:</t>
  </si>
  <si>
    <t>Maadoitus:</t>
  </si>
  <si>
    <t>Maadoitusjohdin (kaapeliojaan asennettava):</t>
  </si>
  <si>
    <t>Muuntaja 20 / 10 kV:</t>
  </si>
  <si>
    <t xml:space="preserve">Muuntaja 1 / 0,4 kV: </t>
  </si>
  <si>
    <t>Pylväsmaadoitus:</t>
  </si>
  <si>
    <t>Päällystetty avojohto:</t>
  </si>
  <si>
    <t>Päällystetty avojohto</t>
  </si>
  <si>
    <t>Yleiskaapeli</t>
  </si>
  <si>
    <t>Yleiskaapeli (AHXAMK-WM, kaapelissa FE kannatinköysi):</t>
  </si>
  <si>
    <t>Perustus (muuntamon):</t>
  </si>
  <si>
    <t xml:space="preserve"> </t>
  </si>
  <si>
    <t>paino (kg)</t>
  </si>
  <si>
    <t>Materiaali kg CO2e / kg  (A1-A3)</t>
  </si>
  <si>
    <t>kg CO2e / tuote  (A1-A3)</t>
  </si>
  <si>
    <t>Kerroin lähde</t>
  </si>
  <si>
    <t>EPD valid</t>
  </si>
  <si>
    <t>Harusköysi</t>
  </si>
  <si>
    <t>SYKE &amp; EPD</t>
  </si>
  <si>
    <t>Haruskiristin</t>
  </si>
  <si>
    <t>Haruslaatta HL43</t>
  </si>
  <si>
    <t>Laattasilmus LS20</t>
  </si>
  <si>
    <t>Harusrauta taivutettu, kaussilla</t>
  </si>
  <si>
    <t>Neliöaluslaatat (M16-M24)</t>
  </si>
  <si>
    <t>Paketin paino (kg)</t>
  </si>
  <si>
    <t>Paino kpl</t>
  </si>
  <si>
    <t>M16 (25kpl)</t>
  </si>
  <si>
    <t>m</t>
  </si>
  <si>
    <t>komponentti / harussarja</t>
  </si>
  <si>
    <t>CO2e</t>
  </si>
  <si>
    <t>komponentti / harussarja eristimellä</t>
  </si>
  <si>
    <t>Haruseristin (posliini)</t>
  </si>
  <si>
    <t>Climatiq</t>
  </si>
  <si>
    <t>Harusrauta taivutettu + kaussi</t>
  </si>
  <si>
    <t>Harussarja HL43 1x25 mm2 haruseristimellä ja taiv.harusraudalla</t>
  </si>
  <si>
    <t>Kalliopylvään tyvituki</t>
  </si>
  <si>
    <t>Kallioruuvi KR 20</t>
  </si>
  <si>
    <t>Kansiruuvi 12x100 (50kpl)</t>
  </si>
  <si>
    <t>Kalliopylvään vinotuki KVT-2</t>
  </si>
  <si>
    <t>Kallioperustus (kalliovinotuet, KVT-2)</t>
  </si>
  <si>
    <t>Oletuksen, että pylväsväli 65m ja kalliotukivarustus tarvitaan 5% pylväistä. Tämä tekee 0,77 kpl kalliotukivarustuksia km kohden, josta arvioinnin arvoksi saadaan 97,47 kg CO2e.</t>
  </si>
  <si>
    <t>EV-yksiköiden sisältämien arvioitujen komponenttien laskentataulukot ja tarkemmat tiedot välilehdellä "Arvioinnit".</t>
  </si>
  <si>
    <t>25kg betonipaino 20m välein.</t>
  </si>
  <si>
    <t>Sivu 16</t>
  </si>
  <si>
    <t>https://co2data.fi/infra/reports/INFRA%20betoni%20R01.05.pdf</t>
  </si>
  <si>
    <t>kg CO₂e / kg</t>
  </si>
  <si>
    <t>Betonin päästötieto</t>
  </si>
  <si>
    <t xml:space="preserve">Oletuksena 25kg betonipaino 20m välein, joka tekee 50 painoa km kohden (1250kg betonia). </t>
  </si>
  <si>
    <t>ACSR Grackle (Turkki)</t>
  </si>
  <si>
    <t>kg / m</t>
  </si>
  <si>
    <t>kg CO2e / m</t>
  </si>
  <si>
    <t>ACSR Sveid (Turkki)</t>
  </si>
  <si>
    <t>ACSR Parrot (Turkki)</t>
  </si>
  <si>
    <t>AACSR Sveid (Itävalta)</t>
  </si>
  <si>
    <t>ACSR Parrot (Itävalta)</t>
  </si>
  <si>
    <t>Keskiarvo 1 kg johdinta kohden</t>
  </si>
  <si>
    <t xml:space="preserve">ACSR johtimien ympäristöselosteista on laskettu keskiarvo painojen mukaan, jota on käytetty EV-yksiköiden SPARROW, RAVEN ja PIGEON johtuimien hiilijalanjäljen arvioinnissa. </t>
  </si>
  <si>
    <t>Paino</t>
  </si>
  <si>
    <t>Raven</t>
  </si>
  <si>
    <t xml:space="preserve">Pigeon </t>
  </si>
  <si>
    <t>Sparrow</t>
  </si>
  <si>
    <t>Kiskoliitin kg43 50-240</t>
  </si>
  <si>
    <t>SYKE &amp; UK GOV</t>
  </si>
  <si>
    <t>Oletuksena, että liitin on kokonaan alumiinia.</t>
  </si>
  <si>
    <t>ABB</t>
  </si>
  <si>
    <t>24kV</t>
  </si>
  <si>
    <t>630A</t>
  </si>
  <si>
    <t>kg</t>
  </si>
  <si>
    <t>(A1-A3)  kg CO₂e</t>
  </si>
  <si>
    <t>Erottimen paino</t>
  </si>
  <si>
    <t>Erotin (SF6 vapaa):</t>
  </si>
  <si>
    <t>NAL – MV indoor air switch-disconnector ("jousierotin")</t>
  </si>
  <si>
    <t>VD4/R breaker (tyhjiö)</t>
  </si>
  <si>
    <t>VD4 / P (tyhiö)</t>
  </si>
  <si>
    <t>Ympäristöselosteiden mukaan laskettu keskiarvo erottimen hiilijalanjäljeksi (A1-A3).</t>
  </si>
  <si>
    <t>ABB MJS kaappi, sekä jalusta kuumasinkittyä pulverimaalattua terästä</t>
  </si>
  <si>
    <t>Jakokaapit 161</t>
  </si>
  <si>
    <t>Korkeus ja syvyys</t>
  </si>
  <si>
    <t>Leveys</t>
  </si>
  <si>
    <t>Tyhjä kaappi (kg)</t>
  </si>
  <si>
    <t>Varustettu kaappi (kg)</t>
  </si>
  <si>
    <t>Jalustan paino (kg)</t>
  </si>
  <si>
    <t>Kerroin</t>
  </si>
  <si>
    <t>Tyhjä kaappi   kg CO₂e</t>
  </si>
  <si>
    <t>Varustettu kaappi    kg CO₂e</t>
  </si>
  <si>
    <t>K02</t>
  </si>
  <si>
    <t>850 tai 1200 x 360</t>
  </si>
  <si>
    <t>-</t>
  </si>
  <si>
    <t>K04</t>
  </si>
  <si>
    <t>850 x  360</t>
  </si>
  <si>
    <t>1200 x 360</t>
  </si>
  <si>
    <t>K06</t>
  </si>
  <si>
    <t>K08</t>
  </si>
  <si>
    <t>K10</t>
  </si>
  <si>
    <t>K13</t>
  </si>
  <si>
    <t>1200x220</t>
  </si>
  <si>
    <t>Kaappi sisältää (kiinteän)jalustan</t>
  </si>
  <si>
    <t>Stera STJK-kaapelijakokaapit, kaappi alumiinia,  jalusta kuumasinkittyä terästä</t>
  </si>
  <si>
    <t>HUOM laskettu 2:lla eri Al kertoimella</t>
  </si>
  <si>
    <t>Jalusta (kg)</t>
  </si>
  <si>
    <t>Kaappi kerroin</t>
  </si>
  <si>
    <t>Jalusta kerroin</t>
  </si>
  <si>
    <t>Tyhjä kaappi      kg CO₂e</t>
  </si>
  <si>
    <t>Finn Electric Komposiitti kaapelijakokaapit, KVS  (Polyester vahvistettu lasikuidulla (25%))</t>
  </si>
  <si>
    <t>Komposiitti kerroin</t>
  </si>
  <si>
    <t>850 x  327</t>
  </si>
  <si>
    <t>1100 x 327</t>
  </si>
  <si>
    <t>sisältää jalustan</t>
  </si>
  <si>
    <t>Sama periaate kuin jakokaapeissa. Katso tämän sivun rivi 123</t>
  </si>
  <si>
    <t>Jonovarokekytkimet, alaliitäntä</t>
  </si>
  <si>
    <t>Tek. Käyttöikä</t>
  </si>
  <si>
    <t>(A1-A3) kg CO₂e</t>
  </si>
  <si>
    <t>1620   100A</t>
  </si>
  <si>
    <t>1621   160A</t>
  </si>
  <si>
    <t>1622   400A</t>
  </si>
  <si>
    <t>1623   630A</t>
  </si>
  <si>
    <t>1625   250A</t>
  </si>
  <si>
    <t>1600A</t>
  </si>
  <si>
    <t>Keskiarvo yhdelle Ampeerille. ABB jonovarokkeiden mukaan</t>
  </si>
  <si>
    <t>(A1-A3) kg CO₂e / A</t>
  </si>
  <si>
    <t>160A jonovarokekytkimen päästötieto on arvioitu muun kokoisten jonovarokekytkimien ympäristöselosteiden mukaan lasketulla keskiarvolla. Keskiarvo on laskettu yhtä ampeeria kohden.</t>
  </si>
  <si>
    <t>Vahvuus (A)</t>
  </si>
  <si>
    <t>Kiskon pituus (m)</t>
  </si>
  <si>
    <t>Kiskon paino (kg)</t>
  </si>
  <si>
    <t>Ei saatavilla alle 600mm kiskoa 1000A:lle</t>
  </si>
  <si>
    <t xml:space="preserve"> -</t>
  </si>
  <si>
    <t>Ei saatavilla alle 850mm kiskoa 1000A:lle</t>
  </si>
  <si>
    <t>Ei saatavilla alle 1050mm kiskoa 1000A:lle</t>
  </si>
  <si>
    <t xml:space="preserve">Arviointi on tehty komponenttien päämateriaalien painojen ja niiden päästötietojen perusteella. </t>
  </si>
  <si>
    <t>Oletuksena, että jakokaapissa on 4 kiskoa.</t>
  </si>
  <si>
    <t>Johtimen paino kilometriltä Rekan tuotetiedoista (kuparijohdin HK).</t>
  </si>
  <si>
    <t>https://co2data.fi/infra/reports/INFRA%20muut%20metallituotteet%20R01.06.pdf</t>
  </si>
  <si>
    <t>https://www.reka.fi/tuoteryhma/hk/</t>
  </si>
  <si>
    <t>Kupariköyden päästökerroin 4,2 kg CO2/ kg, sivu 14 (SYKE).</t>
  </si>
  <si>
    <t>Maadoitus haaroituskaappi</t>
  </si>
  <si>
    <t>Maadoitus haaroituskaappi:</t>
  </si>
  <si>
    <t>Maadoitus jakokaappi</t>
  </si>
  <si>
    <t>Maadoitus jakokaappi:</t>
  </si>
  <si>
    <t>Maadoitus kiinteistömuuntamo</t>
  </si>
  <si>
    <t>Maadoitus kiinteistömuuntamo:</t>
  </si>
  <si>
    <t xml:space="preserve">Maadoitusköysi Cu50, 30m. </t>
  </si>
  <si>
    <r>
      <t>kg CO</t>
    </r>
    <r>
      <rPr>
        <sz val="11"/>
        <color theme="1"/>
        <rFont val="Aptos Narrow"/>
        <family val="2"/>
      </rPr>
      <t>₂</t>
    </r>
    <r>
      <rPr>
        <sz val="11"/>
        <color theme="1"/>
        <rFont val="Aptos Narrow"/>
        <family val="2"/>
        <scheme val="minor"/>
      </rPr>
      <t>e / m  (A1-A3)</t>
    </r>
  </si>
  <si>
    <t>https://co2data.fi/infra/reports/INFRA%20muut%20metallituotteet%20R01.05.pdf</t>
  </si>
  <si>
    <t>Sivu 13-14</t>
  </si>
  <si>
    <t>Puistomuuntamon maadoitus.</t>
  </si>
  <si>
    <t>8508 Maadoitusköysi Cu25, 1m</t>
  </si>
  <si>
    <t>Co2data.fi 16mm2 kupariköyden CO2e arvo 0,59 on kerrottuna 50mm2 ja 16mm2 suhteella.</t>
  </si>
  <si>
    <t>Paino (kg)</t>
  </si>
  <si>
    <t>Kg CO₂e / Cu Kg</t>
  </si>
  <si>
    <t>C-liitin 25/25</t>
  </si>
  <si>
    <r>
      <t>kg CO</t>
    </r>
    <r>
      <rPr>
        <sz val="11"/>
        <color theme="1"/>
        <rFont val="Aptos Narrow"/>
        <family val="2"/>
      </rPr>
      <t>₂</t>
    </r>
    <r>
      <rPr>
        <sz val="11"/>
        <color theme="1"/>
        <rFont val="Aptos Narrow"/>
        <family val="2"/>
        <scheme val="minor"/>
      </rPr>
      <t>e / kpl  (A1-A3)</t>
    </r>
  </si>
  <si>
    <r>
      <t>Kaapelikenkä 25mm</t>
    </r>
    <r>
      <rPr>
        <sz val="11"/>
        <color theme="1"/>
        <rFont val="Aptos Narrow"/>
        <family val="2"/>
      </rPr>
      <t>² / M12</t>
    </r>
  </si>
  <si>
    <t>Maadoitussauva 2,1m</t>
  </si>
  <si>
    <t>Määrä</t>
  </si>
  <si>
    <t>Co2data.fi 16mm2 kupariköyden CO2e arvo 0,59 on kerrottuna 25mm2 ja 16mm2 suhteella.</t>
  </si>
  <si>
    <t xml:space="preserve">Maadoitusköysi Cu25, 20m. </t>
  </si>
  <si>
    <t>Muuntajat 20/10 kV ja 1/0,4kV ovat arvioitu samalla tavalla.</t>
  </si>
  <si>
    <t>Muuntajan painon mukaan</t>
  </si>
  <si>
    <t xml:space="preserve">EPD taulukon keskiarvoilla (kg CO₂e/ muuntaja kg) x Muuntajamallien keskiarvo paino (kg) </t>
  </si>
  <si>
    <t>Kokoluokan keskiarvoilla</t>
  </si>
  <si>
    <t>Yhdellä keskiarvolla</t>
  </si>
  <si>
    <t>EATON PEP 6/2024</t>
  </si>
  <si>
    <t>Muuntaja 400 kVA</t>
  </si>
  <si>
    <t>kVA</t>
  </si>
  <si>
    <t>kg CO₂e / muuntajan paino</t>
  </si>
  <si>
    <t>Eaton T2 OTR</t>
  </si>
  <si>
    <t>Re-Tech (costumer, kkm power Caruna) Tier 2</t>
  </si>
  <si>
    <t>Schneider - Minera - Oil distribution transformer EcoDesing 2021</t>
  </si>
  <si>
    <t>Eri valmistajan TIER 1 Muuntajamallin painoja vertailuksi (kevyempiä)</t>
  </si>
  <si>
    <t>kg CO₂e / muuntajan kVA</t>
  </si>
  <si>
    <t>Öljyeristeiset jakelumuuntajat BTB  20 kV-sarja Tier1</t>
  </si>
  <si>
    <t>EPD Italy:stä löydettyjä ympäristöselosteita muuntamoille</t>
  </si>
  <si>
    <t>kg CO₂e / muuntaja kg</t>
  </si>
  <si>
    <t>kg CO₂e / kVA</t>
  </si>
  <si>
    <t>EPD:n arvot (A1-A3)  kg CO₂e</t>
  </si>
  <si>
    <t>Newton (Italia)</t>
  </si>
  <si>
    <t>400kVA 20kV</t>
  </si>
  <si>
    <t>500kVA 20kV</t>
  </si>
  <si>
    <t>Hitachi (Puola)</t>
  </si>
  <si>
    <t>Mineraaliöljy</t>
  </si>
  <si>
    <t>630kVA 20kV</t>
  </si>
  <si>
    <t>Ormazabal (Espanja)</t>
  </si>
  <si>
    <t>Öljytäytteinen</t>
  </si>
  <si>
    <t>Matelec (Libanon)</t>
  </si>
  <si>
    <t>1000kVA 25kV</t>
  </si>
  <si>
    <t>250kVA 20kV</t>
  </si>
  <si>
    <t>IMEFY (Espanja)</t>
  </si>
  <si>
    <t>630kVA 24kV</t>
  </si>
  <si>
    <t>800kVA 24kV</t>
  </si>
  <si>
    <t>1000kVA 24kV</t>
  </si>
  <si>
    <t>1250kVA 24kV</t>
  </si>
  <si>
    <t>2000kVA 24kV</t>
  </si>
  <si>
    <t>50kVA 24kV</t>
  </si>
  <si>
    <t>100kVA 24kV</t>
  </si>
  <si>
    <t>160kVA 24kV</t>
  </si>
  <si>
    <t>250kVA 24kV</t>
  </si>
  <si>
    <t>400kVA 24kV</t>
  </si>
  <si>
    <t>Meca (Italia)</t>
  </si>
  <si>
    <t>Siemens (Unkari)</t>
  </si>
  <si>
    <t>800kVA 20kV</t>
  </si>
  <si>
    <t>1000kVA 20kV</t>
  </si>
  <si>
    <t>Keskiarvo (EPD)</t>
  </si>
  <si>
    <t>400kVA 20kV ja 24kV muuntajille</t>
  </si>
  <si>
    <t>Keskiarvo kaikki</t>
  </si>
  <si>
    <t>Keskiarvo 50-500kVA</t>
  </si>
  <si>
    <t>Keskiarvo 630-2000kVA</t>
  </si>
  <si>
    <t>Keskiarvo 50-200kVA</t>
  </si>
  <si>
    <t>Keskiarvo 315-630kVA</t>
  </si>
  <si>
    <t>Keskiarvo 800-2000kVA</t>
  </si>
  <si>
    <t>Muuntajat 1/0,4kV</t>
  </si>
  <si>
    <t>Sphera DT Tier2</t>
  </si>
  <si>
    <t>(Keskiarvo kaikki) kg CO₂e / muuntaja kg</t>
  </si>
  <si>
    <t>Muuntaja 30kVA</t>
  </si>
  <si>
    <t>Muuntaja 50kVA</t>
  </si>
  <si>
    <t>Muuntaja 100kVA</t>
  </si>
  <si>
    <t>Muuntaja 20/10kV</t>
  </si>
  <si>
    <t>Schneider</t>
  </si>
  <si>
    <t>Muuntaja 45/20kV</t>
  </si>
  <si>
    <t>Ei löydy</t>
  </si>
  <si>
    <t>Arviointi on tehty muuntajien ympäristöselosteiden perusteella. Ympäristöselosteista on kerätty muuntajien painot ja hiilijalanjälki (A1-A3), joista on laskettu keskiarvo hiilijalanjälki yhtä muuntaja kg kohden.</t>
  </si>
  <si>
    <t xml:space="preserve">Arvioidusta muuntajasta, josta ei ole löytynyt ympäristöselostetta on etsitty valmistajalta tai jälleenmyyjältä tieto muuntajan painosta. </t>
  </si>
  <si>
    <t>Muuntajan paino on kerrottu lasketulla hiilijalanjälki keskiarvolla yhtä muutaja kg kohden.</t>
  </si>
  <si>
    <t xml:space="preserve">Alla olevassa taulukon ylimmässä osassa on rivillä K aiemmin mainitulla tavalla arvioituja päästöarvoja muuntajille ja L sarakkeessa vastaavien muuntajien ympäristöselosteiden arvot. </t>
  </si>
  <si>
    <t>Kyseisiä arvoja voi verrata toisiinsa, joista voi päätellä muuntajien päästöarvioiden tarkkuutta.</t>
  </si>
  <si>
    <t>Muuntajat 20 / 0,4 kV</t>
  </si>
  <si>
    <t>Muuntaja 16 kVA</t>
  </si>
  <si>
    <t>Muuntaja 30 kVA</t>
  </si>
  <si>
    <t>Muuntaja 50 kVA</t>
  </si>
  <si>
    <t>Muuntaja 100 kVA</t>
  </si>
  <si>
    <t>Muuntaja 150/160 kVA</t>
  </si>
  <si>
    <t>Muuntaja 200 kVA</t>
  </si>
  <si>
    <t>Muuntaja 315 kVA</t>
  </si>
  <si>
    <t>Muuntaja 500 kVA</t>
  </si>
  <si>
    <t>Muuntaja 630 kVA</t>
  </si>
  <si>
    <t>Muuntaja 800 kVA</t>
  </si>
  <si>
    <t>Muuntaja 1000 kVA</t>
  </si>
  <si>
    <t>Muuntaja 1250 kVA</t>
  </si>
  <si>
    <t>Muuntaja 1600 kVA</t>
  </si>
  <si>
    <t>(A1-A3)</t>
  </si>
  <si>
    <t>Routalevy, 50mm (m²)</t>
  </si>
  <si>
    <t>HT viemäriputki 110 (m)</t>
  </si>
  <si>
    <t>Tupla salaojaputki 110/95 (m)</t>
  </si>
  <si>
    <t>Total kg CO₂e</t>
  </si>
  <si>
    <t>Puistomuuntamoiden perustukset</t>
  </si>
  <si>
    <t>Keskiarvo kaikista perustuksista</t>
  </si>
  <si>
    <r>
      <t>Murske 0-32 (m</t>
    </r>
    <r>
      <rPr>
        <b/>
        <sz val="11"/>
        <color rgb="FF000000"/>
        <rFont val="Calibri"/>
        <family val="2"/>
      </rPr>
      <t>³)</t>
    </r>
  </si>
  <si>
    <r>
      <t>kg CO</t>
    </r>
    <r>
      <rPr>
        <b/>
        <sz val="11"/>
        <color rgb="FF000000"/>
        <rFont val="Calibri"/>
        <family val="2"/>
      </rPr>
      <t>₂e</t>
    </r>
  </si>
  <si>
    <r>
      <t>Suodatinkangas (m</t>
    </r>
    <r>
      <rPr>
        <b/>
        <sz val="11"/>
        <color rgb="FF000000"/>
        <rFont val="Calibri"/>
        <family val="2"/>
      </rPr>
      <t>²)</t>
    </r>
  </si>
  <si>
    <t>Puistomuuntamon korotettu kevytperustus, routimaton maa</t>
  </si>
  <si>
    <t>Puistomuuntamon korotettu perustus, routimaton maa</t>
  </si>
  <si>
    <t>Puistomuuntamon korotettu perustus, routiva maa</t>
  </si>
  <si>
    <t>Puistomuuntamon korotettu perustus, routimaton maa, upotettu sokkeli</t>
  </si>
  <si>
    <t>Puistomuuntamon korotettu perustus, routiva maa, upotettu sokkeli</t>
  </si>
  <si>
    <t>Puistomuuntamon perustus, routimaton maa</t>
  </si>
  <si>
    <t>Puistomuuntamon perustus, routiva maa</t>
  </si>
  <si>
    <t>Puistomuuntamon perustus, routimaton maa, upotettu sokkeli</t>
  </si>
  <si>
    <t>Puistomuuntamon perustus, routiva maa, upotettu sokkeli</t>
  </si>
  <si>
    <t>Taulukossa erilaisia perustusvaihtoehtoja ja niihin tarvittavia materiaaleja, sekä niiden päästökertoimia.</t>
  </si>
  <si>
    <t>Pylväsmaadoitus erotinasema</t>
  </si>
  <si>
    <t>Pylväsmaadoitus erotinasema:</t>
  </si>
  <si>
    <t>Maadoitusköysi Cu16, 1m</t>
  </si>
  <si>
    <t>Maadoitusköyden suojaputki 2,7m, 20mm halk.</t>
  </si>
  <si>
    <t>Kg CO₂e / materiaali Kg</t>
  </si>
  <si>
    <t>Maadoitussinkilä FE</t>
  </si>
  <si>
    <t>Siirtymäliitin</t>
  </si>
  <si>
    <t>Kiinnityssinkilä kaapeleille ja suojaputkille, halk 27mm</t>
  </si>
  <si>
    <t>PEN-johtimen maadoitus</t>
  </si>
  <si>
    <t>Maadoitusköysi Cu25, 1m</t>
  </si>
  <si>
    <t>Kaapeli (kg/km)</t>
  </si>
  <si>
    <t>Alumiini (kg/km)</t>
  </si>
  <si>
    <t>Päällyste, PEX (kg/km)</t>
  </si>
  <si>
    <t>kg CO2e / km</t>
  </si>
  <si>
    <t>SAX-W 50</t>
  </si>
  <si>
    <t>SAX-W 70</t>
  </si>
  <si>
    <t>SAX-W 95</t>
  </si>
  <si>
    <t>SAX-W 120</t>
  </si>
  <si>
    <t>SAX-W 150</t>
  </si>
  <si>
    <t xml:space="preserve">PEX putken CO2e (kg/kg CO2e) </t>
  </si>
  <si>
    <t>Uponor Aqua Pipe</t>
  </si>
  <si>
    <t>kg CO2e / kg</t>
  </si>
  <si>
    <t>Uponor Radi Pipe</t>
  </si>
  <si>
    <t>Uponor Klett Pipe</t>
  </si>
  <si>
    <t>ASCR johtimen keskiarvollinen CO2e arvo</t>
  </si>
  <si>
    <t>Alla olevassa taulukossa painot materiaaleista km kohden, sekä päästökertoimet.</t>
  </si>
  <si>
    <t>Arvioinnissa on käytetty ACSR johtimien arvioitua päästötietoa (tämän välilehden ensimmäinen arviointiperuste), johon on lisätty PEX-muoviputken päästäarvo (muoviputkien päästöarvojen keskiarvo).</t>
  </si>
  <si>
    <t xml:space="preserve">Valmistajan PEP, jossa kaapelin päästötieto (ilman FE kannatinköyttä oleva versio), </t>
  </si>
  <si>
    <t>Sivu 30</t>
  </si>
  <si>
    <t>https://co2data.fi/infra/reports/INFRA%20ter%C3%A4stuotteet%20R01.05.pdf</t>
  </si>
  <si>
    <t>Yleiskaapeli 70 mm2</t>
  </si>
  <si>
    <t>AHXAMK-WP</t>
  </si>
  <si>
    <t>paino / km (kg)</t>
  </si>
  <si>
    <t>AHXAMK-WM</t>
  </si>
  <si>
    <t>Erotuksena kannatinköyden paino / km (kg)</t>
  </si>
  <si>
    <t>johon lisätty arvioitu kannatin köyden osuus (teräsköyden päästötieto 1.0 kg CO2e/kg, SYKE. Teräsköyden paino valmistajan tiedoista laskettu).</t>
  </si>
  <si>
    <t>Kannatinköyden paino / km (keskiarvo).</t>
  </si>
  <si>
    <t>Kannatinköyden hiilijalanjälki / km.</t>
  </si>
  <si>
    <t>Kaapelin kg CO2e / km</t>
  </si>
  <si>
    <t>Arvioitu AHXAMK-WM kaapelin päästötieto</t>
  </si>
  <si>
    <t>Kannatinköyden painon osuus laskettu AHXAMK-WM ja AHXAMK-WP kaapeleiden tiedoista.</t>
  </si>
  <si>
    <t>Orsirakenteet I-pylväs</t>
  </si>
  <si>
    <t>Orsirakenteet II-pylväs</t>
  </si>
  <si>
    <t>Orsirakenteet I-pylväs:</t>
  </si>
  <si>
    <t>Orsi 100x100x4x2000</t>
  </si>
  <si>
    <t>Muuntajateline + kiinnitystarvikkeet pylvääseen ja muuntajalle</t>
  </si>
  <si>
    <t>Tappieristin 24kV (posliini)</t>
  </si>
  <si>
    <t>Orren kiinnityssarja I-pylväs</t>
  </si>
  <si>
    <t>Orren kiinnityssarja II-pylväs</t>
  </si>
  <si>
    <t>Pylväs lk 2 10m</t>
  </si>
  <si>
    <t>Pylväs lk 2 12m, 65m välein</t>
  </si>
  <si>
    <t>Pylväs lk 2 9m, 50m välein</t>
  </si>
  <si>
    <t>Pylväs lk 2, 12m</t>
  </si>
  <si>
    <t>Perustus (routiva maa)</t>
  </si>
  <si>
    <t>Johtimen kiinnitystarvikkeet  suoralinja AMKA</t>
  </si>
  <si>
    <t>Johtimen kiinnitystarvikkeet  kulmarakenne AMKA</t>
  </si>
  <si>
    <t>Johtimen kiinnitystarvikkeet  kulmarakenne AMKA:</t>
  </si>
  <si>
    <t>Johtimen kiinnitystarvikkeet  suoralinja AMKA:</t>
  </si>
  <si>
    <t>Johtimen kiinnitystarvikkeet  suoralinja PAS</t>
  </si>
  <si>
    <t>Johtimen kiinnitystarvikkeet  kulmarakenne PAS:</t>
  </si>
  <si>
    <t>Johtimen kiinnitystarvikkeet  suoralinja PAS:</t>
  </si>
  <si>
    <t>kg CO2e / tuote (A1-A3)</t>
  </si>
  <si>
    <t>Kannatuskoukku RKKP</t>
  </si>
  <si>
    <r>
      <t>Kannatuspidin 25-95mm</t>
    </r>
    <r>
      <rPr>
        <sz val="11"/>
        <color theme="1"/>
        <rFont val="Aptos Narrow"/>
        <family val="2"/>
      </rPr>
      <t>²</t>
    </r>
  </si>
  <si>
    <t>Kannatuskoukku RKKS 240</t>
  </si>
  <si>
    <t>yht.</t>
  </si>
  <si>
    <t>Oletuksena että 75% pylväistä on suoralla linjalla.</t>
  </si>
  <si>
    <t>Raskas tukipylväs</t>
  </si>
  <si>
    <t>Arviointi on tehty komponenttien päämateriaalien painojen ja niiden päästötietojen perusteella, sekä puupylväiden osuus ympäristöselosteesta.</t>
  </si>
  <si>
    <t>Tukipylvään nivel raskas</t>
  </si>
  <si>
    <t>Vaarnaruuvi</t>
  </si>
  <si>
    <t>Teräspienkiinnikkeet</t>
  </si>
  <si>
    <t>Kulmarakenteisiin lisätään yksi 9 metrin lk2 pylväs (puupylväs sitoo hiiltä ja tuo negatiivisen arvon (-165,915)).</t>
  </si>
  <si>
    <t>Oletuksena että 25% pylväistä on kulmarakenteella, joista puolet on tukipylväsrakenteilla ja puolet haruksilla.</t>
  </si>
  <si>
    <t>Oletuksena että 25% pylväistä on kulmarakenteella, joista puolet on tukipylväsrakenteilla ja puolet haruksilla. Tällöin 12,5% on tukipylväsrakenteilla, joka tekee 50m pylväsvälillä 2,5 kpl kulmarakennetta tukypylväsrakenteella km kohden.</t>
  </si>
  <si>
    <t>Johtimen kiinnitystarvikkeet  suoralinja ACSR</t>
  </si>
  <si>
    <t>Johtimen kiinnitystarvikkeet  suoralinja ACSR:</t>
  </si>
  <si>
    <t>Johtimen kiinnitystarvikkeet  kulmarakenne ACSR</t>
  </si>
  <si>
    <t>Johtimen kiinnitystarvikkeet  kulmarakenne ACSR:</t>
  </si>
  <si>
    <t>Oletuksena 65m pylväsväli. Pylväistä 1/3 kulmarakenteita, joista puolet näitä kulmarakenteita. Kyseisellä oletuksella tulee 2,6 rakennetta km kohden.</t>
  </si>
  <si>
    <t>Oletuksena 65m pylväsväli. Pylväistä 2/3 suoralinjan rakennetta. Kyseisellä oletuksella tulee 10,2 rakennetta km kohden.</t>
  </si>
  <si>
    <t>Sama maadoitus kuin jakokaapissa. Arviointitapa kuvattuna alla (Maadoitus jakokaappi).</t>
  </si>
  <si>
    <t>Taso-orsi 1100mm</t>
  </si>
  <si>
    <r>
      <t>Kulmakannatuspidin 50-150mm</t>
    </r>
    <r>
      <rPr>
        <sz val="11"/>
        <color theme="1"/>
        <rFont val="Aptos Narrow"/>
        <family val="2"/>
      </rPr>
      <t>²</t>
    </r>
  </si>
  <si>
    <t>Vetoeristin 24kV (Kiina)</t>
  </si>
  <si>
    <t>EPD Italy</t>
  </si>
  <si>
    <t>Tasokulmaorsi</t>
  </si>
  <si>
    <t>Oletuksena 65m pylväsväli. Pylväistä 1/3 kulmarakenteita. Kyseisellä oletuksella tulee 5,2 rakennetta km kohden.</t>
  </si>
  <si>
    <t>Taso-orsi, 450mm</t>
  </si>
  <si>
    <t>Tasokulmaorsi, 900 1200</t>
  </si>
  <si>
    <t>Johtimen kiinnitystarvikkeet  kulmarakenne PAS</t>
  </si>
  <si>
    <t>Kulmarakenne A-pylväällä:</t>
  </si>
  <si>
    <t>Kulmarakenne tukipylväällä (AMKA ja ACSR; SPARROW, RAVEN, PIGEON):</t>
  </si>
  <si>
    <t>AMKA;</t>
  </si>
  <si>
    <t>ACSR;</t>
  </si>
  <si>
    <t>Kulmarakenteisiin lisätään yksi 12 metrin lk2 pylväs (puupylväs sitoo hiiltä ja tuo negatiivisen arvon (-221,21986)).</t>
  </si>
  <si>
    <t>Oletuksena että 1/3 pylväistä on kulmarakenteella, joista puolet on ACSR kulmarakenteita (16,7% osuus kaikista pylväistä). 10% kaikista pylväistä on kulmarakenne A-pylväällä, josta jää jäljelle 6,7% pylväsrakenteista on näitä Kulmarakenne tukipylväällä; ACSR,</t>
  </si>
  <si>
    <t>joka tekee 65m pylväsvälillä 1,026 kpl km kohden.</t>
  </si>
  <si>
    <t>Kulmarakenne raskaalle A-pylväälle</t>
  </si>
  <si>
    <t>Oletuksena että 1/3 pylväistä on kulmarakenteella, joista puolet on ACSR kulmarakenteita (16,7% osuus kaikista pylväistä). 10% kaikista pylväistä on kulmarakenne A-pylväällä ja 6,7% pylväsrakenteista on kulmarakenne tukipylväällä; ACSR.</t>
  </si>
  <si>
    <t>Oletuksena 65m pylväsvälillä A-pylväs kularakenteita on 1,54 km kohden.</t>
  </si>
  <si>
    <t>Kulmarakenteisiin lisätään kaksi 12 metrin lk2 pylväs (yksi 12m puupylväs sitoo hiiltä ja tuo negatiivisen arvon (-221,21986)).</t>
  </si>
  <si>
    <t>Kulmaorsi raskas, A pylväs</t>
  </si>
  <si>
    <t>Tämän välilehden arviointien sisältämät tiedot tuotteista, ympäristöselosteista ja päästötietokannoista on haettu vuoden 2024 aikana.</t>
  </si>
  <si>
    <t>Mm. teräksen, muovin, kuparin päästötiedot ovat co2data.fi (SYKE). Alumiinin tiedot ovat co2data.fi (SYKE), sekä UK Government (conversion factors for company reporting of greenhouse gas emissions).</t>
  </si>
  <si>
    <t>Sivut 14 (Cradle-to-gate emission factors) ja 21 (Average-data method)</t>
  </si>
  <si>
    <t>Arviointitapa:</t>
  </si>
  <si>
    <t xml:space="preserve">Osalta valmistajilta saatiin päästötietoja heidän valmistamista komponenteista. </t>
  </si>
  <si>
    <t>Osalle kaapeleista ja ilmajohtimista saatiin päästötieto valmistajalta. Kyseiset tiedot ovat saatavilla asiakkaille tilauksien yhteydessä.</t>
  </si>
  <si>
    <t>Arvioinnit:</t>
  </si>
  <si>
    <t>Puistomuuntamoille laskenta on tehty hyödyntämällä pääraaka-aineen CO2e-kerrointa sekä kyseisen komponentin tai osan painoa. Hiilijalanjälki on jaettu yksittäisille tuotteille käyttämällä tuotteen painoon perustuvaa kerrointa.</t>
  </si>
  <si>
    <t>Asennuksen arviointi:</t>
  </si>
  <si>
    <t>Maanrakennuksen arviointi:</t>
  </si>
  <si>
    <t>Logistiikan oletusarvot:</t>
  </si>
  <si>
    <t>Kaikkia edellä mainittuja oletusarvoja voi korvata yhtiökohtaisella arvolla "yhtiökohtainen arvo" sarakkeeseen (vihreään soluun). Taulukko korvaa tällöin oletusarvon automaattisesti yhtiökohtaisella arvolla.</t>
  </si>
  <si>
    <t>Mikäli sähköverkkoyhtiöllä (tai toimijalla) on poikkeavia tai tarkempia tietoja käyttämästään komponentista EV-yksikön kohdalla (esim. poikkeava kaapelin päästötieto),</t>
  </si>
  <si>
    <t>voi kyseisen komponentin päästötiedon vaihtaa "Lähtöarvot" välilehdellä tai lisätä, jos kyseisestä EV-yksiköstä ei ole päästötietoa.</t>
  </si>
  <si>
    <t>Oletusarvot ovat asetettu myös asentajien ja maanrakentajien kulkemisen etäisyydelle, sekä käytettävien kulkuneuvojen päästötiedoille.</t>
  </si>
  <si>
    <t>Kyseinen tieto korvaa taulukon arvioidun arvon laskennassa.</t>
  </si>
  <si>
    <t>&lt;---  Täytä erillisen raportin tiedoilla (asentajien kulkemisen päästöt, maanrakennuksen päästöt, logistiikan päästöt), mikäli saatavilla.</t>
  </si>
  <si>
    <t>Taulukon laskema tulos (t CO2e).</t>
  </si>
  <si>
    <t>Esim. maanrakennuksen raportoidun päästötiedon voi asettaa soluun D3, joka korvaa taulukon sisältämän arvioinnin maanrakennuksen päästöistä.</t>
  </si>
  <si>
    <t>Asfaltointi:</t>
  </si>
  <si>
    <t>Asfaltoinnin päästöjen arvio neliömetriä kohden.</t>
  </si>
  <si>
    <t>CO2data</t>
  </si>
  <si>
    <t>Asfaltti</t>
  </si>
  <si>
    <t>kg CO2e / kg (A1-A3)</t>
  </si>
  <si>
    <t>hukkakerroin</t>
  </si>
  <si>
    <t>Asfaltoinnin päästöjen muodostuminen</t>
  </si>
  <si>
    <t>Raaka-aineista ja asfaltin valmistuksesta 95 %</t>
  </si>
  <si>
    <t>%</t>
  </si>
  <si>
    <t>Kuljetus 3%</t>
  </si>
  <si>
    <t>Levitys 2%</t>
  </si>
  <si>
    <t>Vastaavia tietoja toisesta lähteestä</t>
  </si>
  <si>
    <t>kg CO2e</t>
  </si>
  <si>
    <t>Raaka-aineista ja asfaltin valmistuksesta</t>
  </si>
  <si>
    <t>75-85</t>
  </si>
  <si>
    <t>A1</t>
  </si>
  <si>
    <t>raaka-aineet</t>
  </si>
  <si>
    <t>Kuljetus</t>
  </si>
  <si>
    <t xml:space="preserve"> 10-17</t>
  </si>
  <si>
    <t>A2</t>
  </si>
  <si>
    <t>r-a kuljetus</t>
  </si>
  <si>
    <t>Levitys</t>
  </si>
  <si>
    <t xml:space="preserve"> 5-8</t>
  </si>
  <si>
    <t>A3</t>
  </si>
  <si>
    <t>valmistus</t>
  </si>
  <si>
    <t>A4</t>
  </si>
  <si>
    <t>kulj. Työmaalle</t>
  </si>
  <si>
    <t xml:space="preserve">Yllä olevan lähteen mukaan 75-85% asfaltoinnin päästöistä muodostuu asfaltin A1-A3 vaiheista </t>
  </si>
  <si>
    <t>A5</t>
  </si>
  <si>
    <t>levitystyö</t>
  </si>
  <si>
    <t>ja 15-25% levityksestä (A5) ja asfaltin kuljetuksesta (A4) levitettävään kohteeseen. 100/80 = 1,25.</t>
  </si>
  <si>
    <t>CO2data.fi arvo kerrotaan 1,25:llä, jolloin saadaan arvio koko asfaltoinnille kg asfalttia kohti.</t>
  </si>
  <si>
    <t>Asfaltin paino / ala</t>
  </si>
  <si>
    <r>
      <t>kg / m</t>
    </r>
    <r>
      <rPr>
        <sz val="11"/>
        <color theme="1"/>
        <rFont val="Aptos Narrow"/>
        <family val="2"/>
      </rPr>
      <t>²</t>
    </r>
  </si>
  <si>
    <t>Asfaltoinnin hiilijalanjälkiarvio</t>
  </si>
  <si>
    <t>kg CO2e / m²</t>
  </si>
  <si>
    <t>työpäivää / eteneminen km kohden</t>
  </si>
  <si>
    <t>d/km</t>
  </si>
  <si>
    <t>Yhtiökohtainen arvo (työpäivää / eteneminen km kohden)</t>
  </si>
  <si>
    <t>"Laskettu" riville muodostuu määrien mukaan toteutuneet summat päästöistä.</t>
  </si>
  <si>
    <t>"Raportoitu" riville voi asettaa erikseen raportoidun tiedon mukaisen päästöarvon, joka korvaa taulukon laskeman päästöarvion kyseisestä kohdasta.</t>
  </si>
  <si>
    <t>Yhden työpäivän kulkemisen päästö jaetaan EV-yksikön asentamiseen kestävällä ajalla.</t>
  </si>
  <si>
    <t>Asennuksen päästöarvio muodostuu asentajien kulkemisesta toimipisteeltä sähköverkon rakennustyömaalle ja takaisin toimipisteelle, sekä aikaan, jonka komponentin asennus vie.</t>
  </si>
  <si>
    <t>https://www.reka.fi/kelat-ja-cabler/kelatiedot-ja-ohjeet/kaapelikelojen-mekaaniset-mitat-ja-massat/</t>
  </si>
  <si>
    <t>Johdin 140kg + Kela 170kg</t>
  </si>
  <si>
    <t>Johdin 220kg + Kela 170kg</t>
  </si>
  <si>
    <t>Johdin 350kg + Kela 170kg</t>
  </si>
  <si>
    <t>Johdin 350kg + Kela 290kg</t>
  </si>
  <si>
    <t>Johdin 510kg + Kela 2*290kg</t>
  </si>
  <si>
    <t>Kaapeli 2882kg + kela 290kg</t>
  </si>
  <si>
    <t>Kaapeli 2552kg + kela 213kg</t>
  </si>
  <si>
    <t>Kaapeli 3568kg + kela 2*290kg</t>
  </si>
  <si>
    <t>Logistiikan päästöt on laskettu tonnikilometrien mukaan.</t>
  </si>
  <si>
    <r>
      <t xml:space="preserve">Välilehdellä "Yhtiökohtaiset arvot" kohdassa </t>
    </r>
    <r>
      <rPr>
        <b/>
        <sz val="11"/>
        <color theme="1"/>
        <rFont val="Aptos Narrow"/>
        <family val="2"/>
        <scheme val="minor"/>
      </rPr>
      <t xml:space="preserve">logistiikan oletusarvot </t>
    </r>
    <r>
      <rPr>
        <sz val="11"/>
        <color theme="1"/>
        <rFont val="Aptos Narrow"/>
        <family val="2"/>
        <scheme val="minor"/>
      </rPr>
      <t>on taulukko, jossa perustelut käytetystä autosta ja päästöarvoista.</t>
    </r>
  </si>
  <si>
    <t>Välilehdellä "Lähtöarvot" sarakkeen AM soluissa on selite toimitettavan yksikön painosta ja linkki kommentissa painojen lähteestä.</t>
  </si>
  <si>
    <t>Koppi 4200kg</t>
  </si>
  <si>
    <t>Koppi (betoninen)</t>
  </si>
  <si>
    <t>Betoninen koppi 22700kg</t>
  </si>
  <si>
    <t>Betoninen koppi 38500</t>
  </si>
  <si>
    <t>Koppi 4200kg * 1,85</t>
  </si>
  <si>
    <t>Koppi 4200kg * 1,95</t>
  </si>
  <si>
    <t>Koppi 4200kg * 0,51</t>
  </si>
  <si>
    <t>Betoninen puistomuuntamo koppi</t>
  </si>
  <si>
    <t>Koko</t>
  </si>
  <si>
    <t>Paino (t)</t>
  </si>
  <si>
    <t>CO2e (A1-A3)</t>
  </si>
  <si>
    <t>1 Moduuli</t>
  </si>
  <si>
    <t>2 Moduuli</t>
  </si>
  <si>
    <t>Kaapeli 2226 kg + kela 2*701kg</t>
  </si>
  <si>
    <t>Kaapeli 3268kg + kela 2*974kg</t>
  </si>
  <si>
    <t>Kaapeli 3784kg + kela 2*974kg</t>
  </si>
  <si>
    <t>Kaapeli 4563kg + kela 2*974kg</t>
  </si>
  <si>
    <t>Kaapeli 2598kg + kela 2*701kg</t>
  </si>
  <si>
    <t>Kaapeli 2531kg + kela 2*428kg</t>
  </si>
  <si>
    <t>Kaapeli 2905kg + kela 2*428kg</t>
  </si>
  <si>
    <t>Kaapeli 3200kg + kela 2*428kg</t>
  </si>
  <si>
    <t>Kaapeli 3570kg + kela 2*701kg</t>
  </si>
  <si>
    <t>Kaapeli 4091kg + kela 2*701kg</t>
  </si>
  <si>
    <t>Kaapeli 4868kg + kela 2*974kg</t>
  </si>
  <si>
    <t>Kaapeli 5603kg + kela 2*974kg</t>
  </si>
  <si>
    <t>https://www.luke.fi/fi/uutiset/suomen-metsissa-on-puuta-25-miljardia-kuutiometria-neljannes-siita-loytyy-soilta</t>
  </si>
  <si>
    <t>Johtoreitiltä raivatun puun aiheuttama hiilivaraston pieneneminen</t>
  </si>
  <si>
    <t>Johtoreitiltä raivatun puun aiheuttama hiilivaraston pieneneminen:</t>
  </si>
  <si>
    <t>https://laskurit.hiilineutraalisuomi.fi/nielu/</t>
  </si>
  <si>
    <t>Oletuksilla:</t>
  </si>
  <si>
    <t>Saadaan poistettavan puun määräksi 30,5m3 / km johtoreitti.</t>
  </si>
  <si>
    <t>Oletus raivatusta puustosta johtoreitiltä;</t>
  </si>
  <si>
    <t>Ilmajohdon rakentaminen teiden varsiin, jolloin raivausta (avojohdolle) 5m leveydeltä (3 m raivaus PAS, pj-ilmajohto ei raivausta, kaapeli ei raivausta).</t>
  </si>
  <si>
    <t>Ilmajohtoreitistä puolet metsää ja puolet peltoa.</t>
  </si>
  <si>
    <t>50% reitistä metsää</t>
  </si>
  <si>
    <t>5m levyinen raivaustarve =&gt; 0,5ha / km johtoreittiä.</t>
  </si>
  <si>
    <t>Keskimäärin 122m3 puuta / ha</t>
  </si>
  <si>
    <t>Lähde --&gt;</t>
  </si>
  <si>
    <t>Raivattu puumassa (30,5m3) antaa alla olevan linkin laskurilla arvon 28,2 t CO2, kun korjuujakso on 1 vuosi ja tarkasteluajanjakso 1 vuosi.</t>
  </si>
  <si>
    <t>Maanrakennus sisältää urakoitsijoiden kulkemisen toimipisteeltä sähköverkon rakennustyömaalle ja takaisin toimipisteelle.</t>
  </si>
  <si>
    <t>Asfaltoinnin päästöarvio on kuvattu "Arvioinnit" välilehdellä.</t>
  </si>
  <si>
    <t>Päästö muodostuu kuljetusta matkasta (km) ja käytettävän ajoneuvon päästöistä (g CO₂/km) yhden työpäivän ajalta. Edellä mainittuja arvoja voi korvata "Yhtiökohtaiset arvot" välilehdellä.</t>
  </si>
  <si>
    <t>Määrät välilehdellä asetetaan toteutuneet EV-yksikköjen määrät (E-sarake), joista tulos muodostuu "Tulos" välilehdelle.</t>
  </si>
  <si>
    <t>"Yhtiökohtaiset arvot" välilehdellä on oletusarvot kaapeliojan kaivun etenemisnopeuksille. Kyseiset oletusarvot voi tarvittaessa korvata yhtiökohtaisilla tiedoilla.</t>
  </si>
  <si>
    <t>Maanrakennuksen päästöt on arvioitu EV-yksikköön kaapeliojan kaivun etenemisnopeuden mukaan, mikäli EV-yksikkö sisältää maanrakennusta.</t>
  </si>
  <si>
    <t>AMKA 95 mm2</t>
  </si>
  <si>
    <t>0,4 kV haaroituskotelo</t>
  </si>
  <si>
    <t>0,4 kV talovarokekotelo</t>
  </si>
  <si>
    <t>Pylväsvaroke</t>
  </si>
  <si>
    <t>0,4 kV Vesistökaapeli 35 mm2 tai pienempi</t>
  </si>
  <si>
    <t>0,4 kV Vesistökaapeli 50 mm2</t>
  </si>
  <si>
    <t>0,4 kV Vesistökaapeli 70 mm2</t>
  </si>
  <si>
    <t>0,4 kV Vesistökaapeli 95 mm2</t>
  </si>
  <si>
    <t>0,4 kV Vesistökaapeli 120 mm2</t>
  </si>
  <si>
    <t>0,4 kV Vesistökaapeli 150 mm2</t>
  </si>
  <si>
    <t>0,4 kV Vesistökaapeli 185 mm2</t>
  </si>
  <si>
    <t>0,4 kV Vesistökaapeli vähintään 240 mm2</t>
  </si>
  <si>
    <t>0,4 kV Armeerattu vesistökaapeli 35 mm2 tai pienempi</t>
  </si>
  <si>
    <t>0,4 kV Armeerattu vesistökaapeli 50 mm2</t>
  </si>
  <si>
    <t>0,4 kV Armeerattu vesistökaapeli 70 mm2</t>
  </si>
  <si>
    <t>0,4 kV Armeerattu vesistökaapeli 95 mm2</t>
  </si>
  <si>
    <t>0,4 kV Armeerattu vesistökaapeli 120 mm2</t>
  </si>
  <si>
    <t>0,4 kV Armeerattu vesistökaapeli 150 mm2</t>
  </si>
  <si>
    <t>0,4 kV Armeerattu vesistökaapeli 185 mm2</t>
  </si>
  <si>
    <t>0,4 kV Armeerattu vesistökaapeli vähintään 240 mm2</t>
  </si>
  <si>
    <t>0,4 kV Vesistökaapelin rantautuminen</t>
  </si>
  <si>
    <t>0,4 kV Armeeratun vesistökaapelin rantautuminen</t>
  </si>
  <si>
    <t>1 kV / 0,4 kV pylväsmuuntamo</t>
  </si>
  <si>
    <t>1,0 kV suojalaitteisto</t>
  </si>
  <si>
    <t>Muuntaja 16 kVA, tier 2</t>
  </si>
  <si>
    <t>20 / 0,4 kV Pylväsmuuntamo: 4-pylväsmuuntamo</t>
  </si>
  <si>
    <t>AL132 mm2 tai suurempi</t>
  </si>
  <si>
    <t>Päällystetty avojohto 35 mm2</t>
  </si>
  <si>
    <t>Päällystetty avojohto 50 mm2</t>
  </si>
  <si>
    <t>Päällystetty avojohto 70 mm2</t>
  </si>
  <si>
    <t>Päällystetty avojohto 120 mm2</t>
  </si>
  <si>
    <t>20 kV Ilmajohtoverkon johtoerotin: 1-vaiheisesti erotettavissa oleva 3-vaiheinen huoltoerotin</t>
  </si>
  <si>
    <t>20 kV Ilmajohtoverkon ilmajohtoverkon vianpaikannuslaitteisto: erotinkohtainen</t>
  </si>
  <si>
    <t>Pylväskatkaisija: katkaisijakohtainen</t>
  </si>
  <si>
    <t>20 kV Ilmajohtoverkon tiedonsiirtolaitteisto: muuntamo tai erotinasemakohtainen</t>
  </si>
  <si>
    <t>20 kV Ilmajohtoverkon kauko-ohjauslaitteisto: moottoriohjain, erotin- tai katkaisijakohtainen</t>
  </si>
  <si>
    <t>Jatkot: Muovikaapelijatko korkeintaan 150 mm2</t>
  </si>
  <si>
    <t>Jatkot: Muovikaapelijatko yli 150 mm2</t>
  </si>
  <si>
    <t>Jatkot: Seka- tai öljykaapelijatko (muovi-paperi ja paperi-paperi) korkeintaan 150 mm2</t>
  </si>
  <si>
    <t>Jatkot: Seka- tai öljykaapelijatko (muovi-paperi ja paperi-paperi) yli 150 mm2</t>
  </si>
  <si>
    <t>Jatkot: Vesistökaapelin jatko</t>
  </si>
  <si>
    <t>Jatkot: Armeeratun vesistökaapelin jatko</t>
  </si>
  <si>
    <t>Sisäpääte, ilmaeristeinen</t>
  </si>
  <si>
    <t>Ulkopääte, ilmaeristeinen</t>
  </si>
  <si>
    <t>Pistokepääte</t>
  </si>
  <si>
    <t>Ylijännitesuoja, ilmaeristeinen: 20 kV kojeisto- ja pylväspäätteissä sekä jakelumuuntajilla</t>
  </si>
  <si>
    <t>Ylijännitesuoja, pistokeliitäntä: 20 kV kojeisto- ja pylväspäätteissä sekä jakelumuuntajilla</t>
  </si>
  <si>
    <t>20 kV haaroituskaappi</t>
  </si>
  <si>
    <t>20 kV Maakaapeli 120 mm2: Ilman keskusköyttä</t>
  </si>
  <si>
    <t>20 kV Maakaapeli 300 mm2: Ilman keskusköyttä</t>
  </si>
  <si>
    <t>20 kV Maakaapeli 400 mm2: Ilman keskusköyttä</t>
  </si>
  <si>
    <t>20 kV Maakaapeli 500 mm2: Ilman keskusköyttä</t>
  </si>
  <si>
    <t>20 kV Maakaapeli 630 mm2: Ilman keskusköyttä</t>
  </si>
  <si>
    <t>20 kV Maakaapeli 800 mm2: Ilman keskusköyttä</t>
  </si>
  <si>
    <t>20 kV Maakaapeli 400 mm2: keskusköydellä</t>
  </si>
  <si>
    <t>20 kV Maakaapeli 500 mm2: keskusköydellä</t>
  </si>
  <si>
    <t>20 kV Maakaapeli 630 mm2: keskusköydellä</t>
  </si>
  <si>
    <t>20 kV Maakaapeli 800 mm2: keskusköydellä</t>
  </si>
  <si>
    <t>20 kV Maakaapeliverkon katkaisija: muuntamolla tai erotinasemalla, katkaisijakohtainen</t>
  </si>
  <si>
    <t>20 kV Maasulun vianindikointilaitteisto: asennettuna muuntamolle tai erotinasemalle, lähtökohtainen</t>
  </si>
  <si>
    <t>20 kV Maakaapeliverkon tiedonsiirtolaitteisto: muuntamo tai erotinasemakohtainen</t>
  </si>
  <si>
    <t>20 kV Maakaapeliverkon kauko-ohjauslaitteisto: erotin- tai katkaisijakohtainen moottoriohjain</t>
  </si>
  <si>
    <t>20 kV Armeerattu vesistökaapeli 70 mm2 tai pienempi</t>
  </si>
  <si>
    <t>20 kV Armeerattu vesistökaapeli 95 mm2</t>
  </si>
  <si>
    <t>20 kV Armeerattu vesistökaapeli 120 mm2</t>
  </si>
  <si>
    <t>20 kV Armeerattu vesistökaapeli 150 mm2</t>
  </si>
  <si>
    <t>20 kV Armeerattu vesistökaapeli 185 mm2</t>
  </si>
  <si>
    <t>20 kV Armeerattu vesistökaapeli 240 mm2</t>
  </si>
  <si>
    <t>20 kV Armeerattu vesistökaapeli 300 mm2 tai suurempi</t>
  </si>
  <si>
    <t>6. Erittäin vaikea: Suurkaupunkien laajat ydinkeskustat, 0,4 KV - 45 KV</t>
  </si>
  <si>
    <t>Puistomuuntamo: sisältä hoidettava luokka 0, pj-keskuksen In enintään 630 A, ilman erotinta</t>
  </si>
  <si>
    <t>Puistomuuntamo: sisältä hoidettava luokka 1, pj-keskuksen In enintään 630 A, 1 kenno erottimella</t>
  </si>
  <si>
    <t>Puistomuuntamo: sisältä hoidettava luokka 2, pj-keskuksen In enintään 630 A, 2 kennoa erottimilla</t>
  </si>
  <si>
    <t>Puistomuuntamo: sisältä hoidettava luokka 3, pj-keskuksen In enintään 630 A, 3 kennoa erottimilla</t>
  </si>
  <si>
    <t>Puistomuuntamo: sisältä hoidettava luokka 4, pj-keskuksen In enintään 630 A, vähintään 4 kennoa erottimilla</t>
  </si>
  <si>
    <t>Puistomuuntamo: sisältä hoidettava luokka 1, pj-keskuksen In yli 630 A, enintään 1 kenno erottimella</t>
  </si>
  <si>
    <t>Puistomuuntamo: sisältä hoidettava luokka 2, pj-keskuksen In yli 630 A, 2 kennoa erottimilla</t>
  </si>
  <si>
    <t>Puistomuuntamo: sisältä hoidettava luokka 3, pj-keskuksen In yli 630 A, 3 kennoa erottimilla</t>
  </si>
  <si>
    <t>Puistomuuntamo: sisältä hoidettava luokka 4, pj-keskuksen In yli 630 A, 4 kennoa erottimilla</t>
  </si>
  <si>
    <t>Puistomuuntamo sisältä hoidettava luokka 5, pj-keskuksen In yli 630 A, vähintään 5 kennoa erottimilla</t>
  </si>
  <si>
    <t>Kolmikäämimuuntaja enintään 150 kVA</t>
  </si>
  <si>
    <t>Kolmikäämimuuntaja yli 150 kVA</t>
  </si>
  <si>
    <t>Linkissä lähde kaapelikelojen painoille.</t>
  </si>
  <si>
    <t>Logistiikan päästöarvio komponentille muodostuu kaavalla (komponentin paino (kg) / 1000kg * kuljetettava matka (km) * kuljetuksen päästökerroin (g CO2e /tkm) / 1000g) = kg CO₂e).</t>
  </si>
  <si>
    <t>Kaapeleissa paino muodostuu kaapelin painosta km kohden, sekä kaapelikelasta tai -keloista.</t>
  </si>
  <si>
    <t>Kaava (Yhtiökohtaiset arvot" välilehdellä): (kuljettu matka päivässä (km) * ajoneuvon päästökerroin (g CO2e / km) / 1000g) = asentajien kulkeminen päivässä (kg CO₂e).</t>
  </si>
  <si>
    <t>Kaava ("Lähtöarvot" välilehdellä): Asentajien kulkeminen päivässä (kg CO₂e) / 8h (työpäivä) / Komponentin asennukseen menevä aika (h).</t>
  </si>
  <si>
    <t>Päästö muodostuu kuljetusta matkasta (km) ja käytettävän ajoneuvon päästöistä (g CO₂/km) yhden työpäivän (8h) ajalta.</t>
  </si>
  <si>
    <t>Esim. Työpäivä (8h) jaetaan EV-yksikön mukaisen jonovarokkeen arvioidulla asennusajalla  (1h), jolloin kaavan loppuosassa on (8/1).</t>
  </si>
  <si>
    <t>Isommissa kokonaisuuksissa asennus saattaa kestää useamman työpäivän. Tällöin kaavan loppuosassa on (8/8)*X  (X = asennuspäivät).</t>
  </si>
  <si>
    <t>Komponentti sarakkeessa on kuvaus komponentista, jonka vieressä päästöarvon lähde, ympäristöselosteen hakuajankohta ja komponentin päästötieto yksikköä kohtaan.</t>
  </si>
  <si>
    <t>Maanrakennuksen päästöjen arviointi muodostuu kaivun etenemisnopeuden ja käytetyn kaluston päästöihin, sekä maanrakentajien päivittäisestä kulkemisesta työmaalle (lukuun ottamatta vesistökaapelin rantauttamista).</t>
  </si>
  <si>
    <t>Kaava ("Lähtöarvot" välilehdellä): 1000m / kaivun etenemisnopeudella (m/h) * kaivinkoneen päästö tuntia kohden (kg CO₂e/h) + maanrakentajien päivittäisestä kulkemisen päästöstä (kg CO₂) * kaapelikaivun eteneminen (päivää/km).</t>
  </si>
  <si>
    <t>Tuloksien arvioinnit ja lähteet:</t>
  </si>
  <si>
    <t>Lähteen linkki solussa komponentin vieressä.</t>
  </si>
  <si>
    <t>rivi EV-taulukosta</t>
  </si>
  <si>
    <t>Mikäli yhtiöllä asennuksien ajat poikkeavat, voivat he halutessaan tarkentaa arvioita omilla tiedoillaan "Lähtöarvot" välilehden kaavaan.</t>
  </si>
  <si>
    <t>Kyseinen välilehti sisältää komponenttien, joille ei ollut valmiita päästötietoja, hiilijalanjäljen arvioinnissa käytetyt tiedot ja taulukot sekä lähteet.</t>
  </si>
  <si>
    <t>Mikäli etäisyys saatavilla linnuntienä. Käytä alla olevia kertoimia todellisen matkan arvioinniksi.</t>
  </si>
  <si>
    <t>Yhden johtimen arvo kerrottuna 3,15, koska 3 johdinta kilometrin matkalla, sekä (lämpölaajenemisesta johtuva) roikkumavara.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</si>
</sst>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00"/>
    <numFmt numFmtId="167" formatCode="0.0000"/>
    <numFmt numFmtId="168" formatCode="0.000"/>
  </numFmts>
  <fonts count="1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Verdana"/>
      <family val="2"/>
    </font>
    <font>
      <sz val="11"/>
      <color theme="0" tint="-0.34998626667073579"/>
      <name val="Aptos Narrow"/>
      <family val="2"/>
      <scheme val="minor"/>
    </font>
    <font>
      <sz val="10"/>
      <color rgb="FF212529"/>
      <name val="Segoe UI"/>
      <family val="2"/>
    </font>
    <font>
      <sz val="11"/>
      <color theme="2" tint="-0.249977111117893"/>
      <name val="Aptos Narrow"/>
      <family val="2"/>
      <scheme val="minor"/>
    </font>
    <font>
      <sz val="11"/>
      <color rgb="FFF8F8F2"/>
      <name val="Courier New"/>
      <family val="3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left"/>
    </xf>
    <xf numFmtId="49" fontId="0" fillId="0" borderId="0" xfId="0" applyNumberFormat="1"/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2" xfId="0" applyFill="1" applyBorder="1"/>
    <xf numFmtId="0" fontId="0" fillId="5" borderId="4" xfId="0" applyFill="1" applyBorder="1"/>
    <xf numFmtId="0" fontId="0" fillId="5" borderId="1" xfId="0" applyFill="1" applyBorder="1"/>
    <xf numFmtId="0" fontId="0" fillId="5" borderId="2" xfId="0" applyFill="1" applyBorder="1"/>
    <xf numFmtId="49" fontId="0" fillId="6" borderId="1" xfId="0" applyNumberFormat="1" applyFill="1" applyBorder="1" applyAlignment="1">
      <alignment horizontal="right"/>
    </xf>
    <xf numFmtId="0" fontId="0" fillId="7" borderId="3" xfId="0" applyFill="1" applyBorder="1"/>
    <xf numFmtId="164" fontId="0" fillId="0" borderId="0" xfId="0" applyNumberFormat="1"/>
    <xf numFmtId="164" fontId="0" fillId="0" borderId="6" xfId="0" applyNumberFormat="1" applyBorder="1" applyAlignment="1">
      <alignment horizontal="right"/>
    </xf>
    <xf numFmtId="164" fontId="0" fillId="0" borderId="6" xfId="0" applyNumberFormat="1" applyBorder="1"/>
    <xf numFmtId="49" fontId="3" fillId="0" borderId="0" xfId="0" applyNumberFormat="1" applyFont="1"/>
    <xf numFmtId="165" fontId="0" fillId="0" borderId="6" xfId="0" applyNumberFormat="1" applyBorder="1"/>
    <xf numFmtId="164" fontId="0" fillId="2" borderId="2" xfId="0" applyNumberFormat="1" applyFill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0" xfId="0" applyFont="1" applyBorder="1"/>
    <xf numFmtId="166" fontId="0" fillId="0" borderId="0" xfId="0" applyNumberFormat="1"/>
    <xf numFmtId="164" fontId="0" fillId="0" borderId="5" xfId="0" applyNumberFormat="1" applyBorder="1"/>
    <xf numFmtId="164" fontId="0" fillId="0" borderId="4" xfId="0" applyNumberFormat="1" applyBorder="1"/>
    <xf numFmtId="167" fontId="0" fillId="0" borderId="0" xfId="0" applyNumberFormat="1"/>
    <xf numFmtId="164" fontId="0" fillId="0" borderId="15" xfId="0" applyNumberFormat="1" applyBorder="1"/>
    <xf numFmtId="164" fontId="0" fillId="0" borderId="16" xfId="0" applyNumberFormat="1" applyBorder="1"/>
    <xf numFmtId="0" fontId="0" fillId="5" borderId="0" xfId="0" applyFill="1"/>
    <xf numFmtId="0" fontId="4" fillId="0" borderId="0" xfId="0" applyFont="1"/>
    <xf numFmtId="0" fontId="5" fillId="0" borderId="0" xfId="1"/>
    <xf numFmtId="2" fontId="5" fillId="0" borderId="0" xfId="1" applyNumberFormat="1"/>
    <xf numFmtId="17" fontId="0" fillId="0" borderId="0" xfId="0" applyNumberFormat="1" applyAlignment="1">
      <alignment horizontal="right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0" fillId="0" borderId="5" xfId="0" applyNumberFormat="1" applyBorder="1"/>
    <xf numFmtId="2" fontId="0" fillId="0" borderId="6" xfId="0" applyNumberFormat="1" applyBorder="1"/>
    <xf numFmtId="2" fontId="0" fillId="2" borderId="10" xfId="0" applyNumberFormat="1" applyFill="1" applyBorder="1" applyAlignment="1">
      <alignment horizontal="right"/>
    </xf>
    <xf numFmtId="2" fontId="0" fillId="0" borderId="1" xfId="0" applyNumberFormat="1" applyBorder="1"/>
    <xf numFmtId="2" fontId="0" fillId="0" borderId="2" xfId="0" applyNumberFormat="1" applyBorder="1"/>
    <xf numFmtId="0" fontId="0" fillId="0" borderId="15" xfId="0" applyBorder="1" applyAlignment="1">
      <alignment horizontal="right"/>
    </xf>
    <xf numFmtId="0" fontId="0" fillId="2" borderId="15" xfId="0" applyFill="1" applyBorder="1"/>
    <xf numFmtId="0" fontId="0" fillId="2" borderId="0" xfId="0" applyFill="1" applyAlignment="1">
      <alignment horizontal="right"/>
    </xf>
    <xf numFmtId="14" fontId="0" fillId="0" borderId="0" xfId="0" applyNumberFormat="1"/>
    <xf numFmtId="0" fontId="0" fillId="0" borderId="10" xfId="0" applyBorder="1"/>
    <xf numFmtId="2" fontId="0" fillId="0" borderId="10" xfId="0" applyNumberFormat="1" applyBorder="1"/>
    <xf numFmtId="0" fontId="0" fillId="0" borderId="0" xfId="0" applyAlignment="1">
      <alignment horizontal="right" indent="1"/>
    </xf>
    <xf numFmtId="0" fontId="0" fillId="2" borderId="1" xfId="0" applyFill="1" applyBorder="1" applyAlignment="1">
      <alignment horizontal="right"/>
    </xf>
    <xf numFmtId="14" fontId="0" fillId="0" borderId="6" xfId="0" applyNumberFormat="1" applyBorder="1"/>
    <xf numFmtId="14" fontId="0" fillId="0" borderId="2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2" fontId="0" fillId="0" borderId="12" xfId="0" applyNumberFormat="1" applyBorder="1"/>
    <xf numFmtId="0" fontId="0" fillId="2" borderId="12" xfId="0" applyFill="1" applyBorder="1" applyAlignment="1">
      <alignment horizontal="right"/>
    </xf>
    <xf numFmtId="14" fontId="0" fillId="0" borderId="12" xfId="0" applyNumberFormat="1" applyBorder="1"/>
    <xf numFmtId="2" fontId="0" fillId="0" borderId="15" xfId="0" applyNumberFormat="1" applyBorder="1"/>
    <xf numFmtId="2" fontId="0" fillId="0" borderId="17" xfId="0" applyNumberFormat="1" applyBorder="1"/>
    <xf numFmtId="0" fontId="0" fillId="0" borderId="16" xfId="0" applyBorder="1" applyAlignment="1">
      <alignment horizontal="right"/>
    </xf>
    <xf numFmtId="1" fontId="0" fillId="0" borderId="0" xfId="0" applyNumberFormat="1"/>
    <xf numFmtId="1" fontId="0" fillId="2" borderId="4" xfId="0" applyNumberFormat="1" applyFill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" fontId="0" fillId="2" borderId="1" xfId="0" applyNumberFormat="1" applyFill="1" applyBorder="1"/>
    <xf numFmtId="1" fontId="0" fillId="0" borderId="0" xfId="0" applyNumberFormat="1" applyAlignment="1">
      <alignment horizontal="right"/>
    </xf>
    <xf numFmtId="1" fontId="0" fillId="0" borderId="11" xfId="0" applyNumberFormat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8" borderId="12" xfId="0" applyFill="1" applyBorder="1"/>
    <xf numFmtId="0" fontId="0" fillId="8" borderId="13" xfId="0" applyFill="1" applyBorder="1"/>
    <xf numFmtId="0" fontId="0" fillId="8" borderId="5" xfId="0" applyFill="1" applyBorder="1"/>
    <xf numFmtId="0" fontId="0" fillId="8" borderId="0" xfId="0" applyFill="1" applyAlignment="1">
      <alignment horizontal="right"/>
    </xf>
    <xf numFmtId="0" fontId="0" fillId="8" borderId="0" xfId="0" applyFill="1"/>
    <xf numFmtId="0" fontId="0" fillId="8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6" fillId="9" borderId="0" xfId="0" applyFont="1" applyFill="1"/>
    <xf numFmtId="0" fontId="6" fillId="9" borderId="6" xfId="0" applyFont="1" applyFill="1" applyBorder="1"/>
    <xf numFmtId="0" fontId="0" fillId="8" borderId="6" xfId="0" applyFill="1" applyBorder="1"/>
    <xf numFmtId="0" fontId="4" fillId="2" borderId="16" xfId="0" applyFont="1" applyFill="1" applyBorder="1"/>
    <xf numFmtId="2" fontId="0" fillId="0" borderId="14" xfId="0" applyNumberFormat="1" applyBorder="1"/>
    <xf numFmtId="0" fontId="0" fillId="5" borderId="0" xfId="0" applyFill="1" applyAlignment="1">
      <alignment horizontal="right"/>
    </xf>
    <xf numFmtId="164" fontId="0" fillId="10" borderId="0" xfId="0" applyNumberFormat="1" applyFill="1"/>
    <xf numFmtId="168" fontId="0" fillId="0" borderId="0" xfId="0" applyNumberFormat="1"/>
    <xf numFmtId="0" fontId="0" fillId="8" borderId="11" xfId="0" applyFill="1" applyBorder="1"/>
    <xf numFmtId="0" fontId="0" fillId="8" borderId="12" xfId="0" applyFill="1" applyBorder="1" applyAlignment="1">
      <alignment horizontal="right"/>
    </xf>
    <xf numFmtId="0" fontId="0" fillId="8" borderId="13" xfId="0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1" fontId="0" fillId="0" borderId="1" xfId="0" applyNumberFormat="1" applyBorder="1"/>
    <xf numFmtId="1" fontId="0" fillId="0" borderId="12" xfId="0" applyNumberFormat="1" applyBorder="1"/>
    <xf numFmtId="2" fontId="4" fillId="0" borderId="10" xfId="0" applyNumberFormat="1" applyFont="1" applyBorder="1"/>
    <xf numFmtId="0" fontId="4" fillId="8" borderId="10" xfId="0" applyFont="1" applyFill="1" applyBorder="1"/>
    <xf numFmtId="2" fontId="4" fillId="8" borderId="10" xfId="0" applyNumberFormat="1" applyFont="1" applyFill="1" applyBorder="1"/>
    <xf numFmtId="0" fontId="0" fillId="5" borderId="11" xfId="0" applyFill="1" applyBorder="1" applyAlignment="1">
      <alignment horizontal="left"/>
    </xf>
    <xf numFmtId="0" fontId="0" fillId="5" borderId="12" xfId="0" applyFill="1" applyBorder="1"/>
    <xf numFmtId="0" fontId="0" fillId="5" borderId="12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6" borderId="5" xfId="0" applyFill="1" applyBorder="1"/>
    <xf numFmtId="0" fontId="0" fillId="6" borderId="0" xfId="0" applyFill="1"/>
    <xf numFmtId="0" fontId="0" fillId="5" borderId="5" xfId="0" applyFill="1" applyBorder="1"/>
    <xf numFmtId="0" fontId="7" fillId="0" borderId="0" xfId="0" applyFont="1"/>
    <xf numFmtId="0" fontId="7" fillId="0" borderId="1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5" xfId="0" applyFont="1" applyBorder="1"/>
    <xf numFmtId="0" fontId="8" fillId="12" borderId="0" xfId="0" applyFont="1" applyFill="1"/>
    <xf numFmtId="0" fontId="8" fillId="0" borderId="0" xfId="0" applyFont="1"/>
    <xf numFmtId="0" fontId="8" fillId="13" borderId="6" xfId="0" applyFont="1" applyFill="1" applyBorder="1"/>
    <xf numFmtId="0" fontId="7" fillId="11" borderId="5" xfId="0" applyFont="1" applyFill="1" applyBorder="1"/>
    <xf numFmtId="0" fontId="8" fillId="11" borderId="0" xfId="0" applyFont="1" applyFill="1"/>
    <xf numFmtId="0" fontId="7" fillId="11" borderId="0" xfId="0" applyFont="1" applyFill="1"/>
    <xf numFmtId="168" fontId="8" fillId="11" borderId="0" xfId="0" applyNumberFormat="1" applyFont="1" applyFill="1"/>
    <xf numFmtId="0" fontId="7" fillId="11" borderId="6" xfId="0" applyFont="1" applyFill="1" applyBorder="1"/>
    <xf numFmtId="0" fontId="9" fillId="0" borderId="5" xfId="0" applyFont="1" applyBorder="1"/>
    <xf numFmtId="0" fontId="7" fillId="0" borderId="6" xfId="0" applyFont="1" applyBorder="1"/>
    <xf numFmtId="0" fontId="7" fillId="12" borderId="0" xfId="0" applyFont="1" applyFill="1"/>
    <xf numFmtId="2" fontId="7" fillId="0" borderId="0" xfId="0" applyNumberFormat="1" applyFont="1"/>
    <xf numFmtId="2" fontId="7" fillId="13" borderId="6" xfId="0" applyNumberFormat="1" applyFont="1" applyFill="1" applyBorder="1"/>
    <xf numFmtId="0" fontId="7" fillId="0" borderId="4" xfId="0" applyFont="1" applyBorder="1"/>
    <xf numFmtId="0" fontId="7" fillId="12" borderId="1" xfId="0" applyFont="1" applyFill="1" applyBorder="1"/>
    <xf numFmtId="2" fontId="7" fillId="0" borderId="1" xfId="0" applyNumberFormat="1" applyFont="1" applyBorder="1"/>
    <xf numFmtId="2" fontId="7" fillId="13" borderId="2" xfId="0" applyNumberFormat="1" applyFont="1" applyFill="1" applyBorder="1"/>
    <xf numFmtId="0" fontId="0" fillId="0" borderId="5" xfId="0" applyBorder="1" applyAlignment="1">
      <alignment horizontal="left"/>
    </xf>
    <xf numFmtId="0" fontId="0" fillId="0" borderId="18" xfId="0" applyBorder="1"/>
    <xf numFmtId="49" fontId="8" fillId="0" borderId="11" xfId="0" applyNumberFormat="1" applyFont="1" applyBorder="1"/>
    <xf numFmtId="49" fontId="0" fillId="0" borderId="5" xfId="0" applyNumberFormat="1" applyBorder="1"/>
    <xf numFmtId="49" fontId="0" fillId="0" borderId="4" xfId="0" applyNumberFormat="1" applyBorder="1"/>
    <xf numFmtId="49" fontId="0" fillId="0" borderId="14" xfId="0" applyNumberFormat="1" applyBorder="1"/>
    <xf numFmtId="1" fontId="0" fillId="2" borderId="10" xfId="0" applyNumberFormat="1" applyFill="1" applyBorder="1" applyAlignment="1">
      <alignment horizontal="right"/>
    </xf>
    <xf numFmtId="1" fontId="0" fillId="2" borderId="18" xfId="0" applyNumberFormat="1" applyFill="1" applyBorder="1"/>
    <xf numFmtId="1" fontId="0" fillId="2" borderId="7" xfId="0" applyNumberFormat="1" applyFill="1" applyBorder="1"/>
    <xf numFmtId="1" fontId="0" fillId="2" borderId="3" xfId="0" applyNumberFormat="1" applyFill="1" applyBorder="1"/>
    <xf numFmtId="0" fontId="0" fillId="2" borderId="6" xfId="0" applyFill="1" applyBorder="1" applyAlignment="1">
      <alignment horizontal="right"/>
    </xf>
    <xf numFmtId="0" fontId="4" fillId="0" borderId="1" xfId="0" applyFont="1" applyBorder="1"/>
    <xf numFmtId="0" fontId="4" fillId="5" borderId="0" xfId="0" applyFont="1" applyFill="1"/>
    <xf numFmtId="1" fontId="0" fillId="5" borderId="0" xfId="0" applyNumberFormat="1" applyFill="1"/>
    <xf numFmtId="1" fontId="0" fillId="5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2" fontId="4" fillId="5" borderId="0" xfId="0" applyNumberFormat="1" applyFont="1" applyFill="1"/>
    <xf numFmtId="0" fontId="5" fillId="5" borderId="0" xfId="1" applyFill="1"/>
    <xf numFmtId="164" fontId="0" fillId="5" borderId="0" xfId="0" applyNumberFormat="1" applyFill="1"/>
    <xf numFmtId="49" fontId="4" fillId="5" borderId="0" xfId="0" applyNumberFormat="1" applyFont="1" applyFill="1"/>
    <xf numFmtId="0" fontId="0" fillId="0" borderId="13" xfId="0" applyBorder="1" applyAlignment="1">
      <alignment horizontal="right"/>
    </xf>
    <xf numFmtId="0" fontId="0" fillId="2" borderId="13" xfId="0" applyFill="1" applyBorder="1" applyAlignment="1">
      <alignment horizontal="right"/>
    </xf>
    <xf numFmtId="2" fontId="0" fillId="0" borderId="0" xfId="0" applyNumberFormat="1" applyAlignment="1">
      <alignment horizontal="right"/>
    </xf>
    <xf numFmtId="14" fontId="0" fillId="2" borderId="13" xfId="0" applyNumberFormat="1" applyFill="1" applyBorder="1"/>
    <xf numFmtId="0" fontId="4" fillId="5" borderId="12" xfId="0" applyFont="1" applyFill="1" applyBorder="1"/>
    <xf numFmtId="0" fontId="0" fillId="2" borderId="12" xfId="0" applyFill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164" fontId="0" fillId="0" borderId="12" xfId="0" applyNumberFormat="1" applyBorder="1"/>
    <xf numFmtId="164" fontId="0" fillId="0" borderId="1" xfId="0" applyNumberFormat="1" applyBorder="1"/>
    <xf numFmtId="0" fontId="0" fillId="2" borderId="3" xfId="0" applyFill="1" applyBorder="1"/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2" fontId="0" fillId="2" borderId="8" xfId="0" applyNumberFormat="1" applyFill="1" applyBorder="1"/>
    <xf numFmtId="2" fontId="0" fillId="5" borderId="12" xfId="0" applyNumberFormat="1" applyFill="1" applyBorder="1"/>
    <xf numFmtId="0" fontId="4" fillId="0" borderId="14" xfId="0" applyFont="1" applyBorder="1"/>
    <xf numFmtId="0" fontId="11" fillId="0" borderId="0" xfId="0" applyFont="1"/>
    <xf numFmtId="0" fontId="0" fillId="0" borderId="14" xfId="0" applyBorder="1" applyAlignment="1">
      <alignment horizontal="right"/>
    </xf>
    <xf numFmtId="0" fontId="0" fillId="0" borderId="18" xfId="0" applyBorder="1" applyAlignment="1">
      <alignment horizontal="right"/>
    </xf>
    <xf numFmtId="164" fontId="0" fillId="0" borderId="11" xfId="0" applyNumberFormat="1" applyBorder="1"/>
    <xf numFmtId="1" fontId="0" fillId="0" borderId="13" xfId="0" applyNumberFormat="1" applyBorder="1"/>
    <xf numFmtId="0" fontId="0" fillId="0" borderId="7" xfId="0" applyBorder="1" applyAlignment="1">
      <alignment horizontal="right"/>
    </xf>
    <xf numFmtId="1" fontId="0" fillId="0" borderId="6" xfId="0" applyNumberFormat="1" applyBorder="1"/>
    <xf numFmtId="16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2" xfId="0" applyNumberFormat="1" applyBorder="1"/>
    <xf numFmtId="0" fontId="0" fillId="0" borderId="10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49" fontId="12" fillId="0" borderId="0" xfId="0" applyNumberFormat="1" applyFont="1"/>
    <xf numFmtId="2" fontId="12" fillId="0" borderId="0" xfId="0" applyNumberFormat="1" applyFont="1"/>
    <xf numFmtId="0" fontId="12" fillId="0" borderId="6" xfId="0" applyFont="1" applyBorder="1"/>
    <xf numFmtId="2" fontId="12" fillId="0" borderId="7" xfId="0" applyNumberFormat="1" applyFont="1" applyBorder="1"/>
    <xf numFmtId="164" fontId="0" fillId="0" borderId="0" xfId="0" applyNumberFormat="1" applyProtection="1">
      <protection locked="0"/>
    </xf>
    <xf numFmtId="0" fontId="12" fillId="0" borderId="0" xfId="0" applyFont="1" applyAlignment="1">
      <alignment horizontal="left"/>
    </xf>
    <xf numFmtId="164" fontId="12" fillId="0" borderId="7" xfId="0" applyNumberFormat="1" applyFont="1" applyBorder="1" applyProtection="1">
      <protection locked="0"/>
    </xf>
    <xf numFmtId="0" fontId="12" fillId="0" borderId="0" xfId="0" applyFont="1"/>
    <xf numFmtId="0" fontId="4" fillId="14" borderId="0" xfId="0" applyFont="1" applyFill="1"/>
    <xf numFmtId="0" fontId="0" fillId="14" borderId="0" xfId="0" applyFill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19" xfId="0" applyBorder="1" applyProtection="1">
      <protection locked="0"/>
    </xf>
    <xf numFmtId="164" fontId="0" fillId="0" borderId="19" xfId="0" applyNumberFormat="1" applyBorder="1"/>
    <xf numFmtId="164" fontId="0" fillId="0" borderId="21" xfId="0" applyNumberFormat="1" applyBorder="1"/>
    <xf numFmtId="0" fontId="0" fillId="2" borderId="23" xfId="0" applyFill="1" applyBorder="1"/>
    <xf numFmtId="0" fontId="0" fillId="0" borderId="24" xfId="0" applyBorder="1"/>
    <xf numFmtId="0" fontId="0" fillId="2" borderId="21" xfId="0" applyFill="1" applyBorder="1"/>
    <xf numFmtId="0" fontId="0" fillId="0" borderId="8" xfId="0" applyBorder="1" applyProtection="1">
      <protection locked="0"/>
    </xf>
    <xf numFmtId="0" fontId="13" fillId="0" borderId="0" xfId="0" applyFont="1"/>
    <xf numFmtId="0" fontId="0" fillId="2" borderId="23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ha Jokinen" id="{68FE641C-13D6-414F-A435-AD08A2569DF6}" userId="S::juha.jokinen@headpower.fi::0a6784ee-1b97-484f-9d86-fda538cb2cca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M2" dT="2025-05-08T04:57:17.15" personId="{68FE641C-13D6-414F-A435-AD08A2569DF6}" id="{CE78552F-FA27-4272-9BB3-926BA2C202A2}">
    <text>https://datasheet.prysmian.com/pdf/datasheet/fi-FI/328837/FI00_AMKA1KV</text>
    <extLst>
      <x:ext xmlns:xltc2="http://schemas.microsoft.com/office/spreadsheetml/2020/threadedcomments2" uri="{F7C98A9C-CBB3-438F-8F68-D28B6AF4A901}">
        <xltc2:checksum>2683057213</xltc2:checksum>
        <xltc2:hyperlink startIndex="0" length="70" url="https://datasheet.prysmian.com/pdf/datasheet/fi-FI/328837/FI00_AMKA1KV"/>
      </x:ext>
    </extLst>
  </threadedComment>
  <threadedComment ref="AM3" dT="2025-05-08T04:57:23.27" personId="{68FE641C-13D6-414F-A435-AD08A2569DF6}" id="{EB753EAA-33B2-40D7-9909-EED3C5C292CD}">
    <text>https://datasheet.prysmian.com/pdf/datasheet/fi-FI/328837/FI00_AMKA1KV</text>
    <extLst>
      <x:ext xmlns:xltc2="http://schemas.microsoft.com/office/spreadsheetml/2020/threadedcomments2" uri="{F7C98A9C-CBB3-438F-8F68-D28B6AF4A901}">
        <xltc2:checksum>2683057213</xltc2:checksum>
        <xltc2:hyperlink startIndex="0" length="70" url="https://datasheet.prysmian.com/pdf/datasheet/fi-FI/328837/FI00_AMKA1KV"/>
      </x:ext>
    </extLst>
  </threadedComment>
  <threadedComment ref="AM4" dT="2025-05-08T04:57:27.65" personId="{68FE641C-13D6-414F-A435-AD08A2569DF6}" id="{B7FD60B1-B633-40C6-A84F-52CA8D90FD20}">
    <text>https://datasheet.prysmian.com/pdf/datasheet/fi-FI/328837/FI00_AMKA1KV</text>
    <extLst>
      <x:ext xmlns:xltc2="http://schemas.microsoft.com/office/spreadsheetml/2020/threadedcomments2" uri="{F7C98A9C-CBB3-438F-8F68-D28B6AF4A901}">
        <xltc2:checksum>2683057213</xltc2:checksum>
        <xltc2:hyperlink startIndex="0" length="70" url="https://datasheet.prysmian.com/pdf/datasheet/fi-FI/328837/FI00_AMKA1KV"/>
      </x:ext>
    </extLst>
  </threadedComment>
  <threadedComment ref="AM6" dT="2025-05-08T04:57:31.41" personId="{68FE641C-13D6-414F-A435-AD08A2569DF6}" id="{8E4E2B54-A199-49AB-A4E2-2CF1E2D66022}">
    <text>https://datasheet.prysmian.com/pdf/datasheet/fi-FI/328837/FI00_AMKA1KV</text>
    <extLst>
      <x:ext xmlns:xltc2="http://schemas.microsoft.com/office/spreadsheetml/2020/threadedcomments2" uri="{F7C98A9C-CBB3-438F-8F68-D28B6AF4A901}">
        <xltc2:checksum>2683057213</xltc2:checksum>
        <xltc2:hyperlink startIndex="0" length="70" url="https://datasheet.prysmian.com/pdf/datasheet/fi-FI/328837/FI00_AMKA1KV"/>
      </x:ext>
    </extLst>
  </threadedComment>
  <threadedComment ref="AM20" dT="2025-04-08T12:42:20.97" personId="{68FE641C-13D6-414F-A435-AD08A2569DF6}" id="{3BB4D38E-3F61-43AC-A24F-27969E8588A1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1" dT="2025-04-08T12:42:24.45" personId="{68FE641C-13D6-414F-A435-AD08A2569DF6}" id="{29A7EFC1-74CC-4821-B061-5C31FE5CEC66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2" dT="2025-04-08T12:42:24.45" personId="{68FE641C-13D6-414F-A435-AD08A2569DF6}" id="{8D0E0396-944C-4216-BFE6-67F118574D89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3" dT="2025-04-08T12:42:32.04" personId="{68FE641C-13D6-414F-A435-AD08A2569DF6}" id="{26AA0527-D328-4EFB-8928-11946583DDEF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4" dT="2025-04-08T12:42:35.44" personId="{68FE641C-13D6-414F-A435-AD08A2569DF6}" id="{B6AB1E6A-B84E-4CE2-BEE3-F5244641E464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5" dT="2025-04-08T12:42:40.19" personId="{68FE641C-13D6-414F-A435-AD08A2569DF6}" id="{EC4E50B3-F727-41F3-B5A7-0E1A1B62C0BF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6" dT="2025-04-08T12:42:43.84" personId="{68FE641C-13D6-414F-A435-AD08A2569DF6}" id="{F0CBEDDA-0635-4357-9EAD-290F68833FFB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7" dT="2025-04-08T12:42:47.05" personId="{68FE641C-13D6-414F-A435-AD08A2569DF6}" id="{E0CB3427-C0F2-4A34-83EE-ACDBE965254F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8" dT="2025-04-08T12:42:47.05" personId="{68FE641C-13D6-414F-A435-AD08A2569DF6}" id="{CA785DC1-1DF2-4B4C-90C6-C4873B9E660B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M29" dT="2025-04-08T12:42:53.70" personId="{68FE641C-13D6-414F-A435-AD08A2569DF6}" id="{BB6ED5BB-4023-47AC-8325-56532C413EB1}">
    <text>https://www.reka.fi/tuoteryhma/axmk-pe-powerex-pe/</text>
    <extLst>
      <x:ext xmlns:xltc2="http://schemas.microsoft.com/office/spreadsheetml/2020/threadedcomments2" uri="{F7C98A9C-CBB3-438F-8F68-D28B6AF4A901}">
        <xltc2:checksum>3086111566</xltc2:checksum>
        <xltc2:hyperlink startIndex="0" length="50" url="https://www.reka.fi/tuoteryhma/axmk-pe-powerex-pe/"/>
      </x:ext>
    </extLst>
  </threadedComment>
  <threadedComment ref="AK57" dT="2025-04-03T11:57:03.16" personId="{68FE641C-13D6-414F-A435-AD08A2569DF6}" id="{B762BFA1-B654-49DA-9579-318B7E402F32}">
    <text xml:space="preserve">
Kaivinkoneen päästö / tunti kerrottuna työhön menevällä tuntimäärällä.
KKH 21
https://co2data.fi/infra/#fi_id7100000855</text>
    <extLst>
      <x:ext xmlns:xltc2="http://schemas.microsoft.com/office/spreadsheetml/2020/threadedcomments2" uri="{F7C98A9C-CBB3-438F-8F68-D28B6AF4A901}">
        <xltc2:checksum>2103493211</xltc2:checksum>
        <xltc2:hyperlink startIndex="80" length="41" url="https://co2data.fi/infra/#fi_id7100000855"/>
      </x:ext>
    </extLst>
  </threadedComment>
  <threadedComment ref="AK58" dT="2025-04-03T11:57:03.16" personId="{68FE641C-13D6-414F-A435-AD08A2569DF6}" id="{27AD0A5B-3B35-4F1A-8A72-D0882D8E35CD}">
    <text xml:space="preserve">
Kaivinkoneen päästö / tunti kerrottuna työhön menevällä tuntimäärällä.
KKH 21
https://co2data.fi/infra/#fi_id7100000855</text>
    <extLst>
      <x:ext xmlns:xltc2="http://schemas.microsoft.com/office/spreadsheetml/2020/threadedcomments2" uri="{F7C98A9C-CBB3-438F-8F68-D28B6AF4A901}">
        <xltc2:checksum>2103493211</xltc2:checksum>
        <xltc2:hyperlink startIndex="80" length="41" url="https://co2data.fi/infra/#fi_id7100000855"/>
      </x:ext>
    </extLst>
  </threadedComment>
  <threadedComment ref="AM59" dT="2024-11-27T08:52:12.60" personId="{68FE641C-13D6-414F-A435-AD08A2569DF6}" id="{A1899A7A-A58D-450F-9AA5-2002D01208DE}">
    <text>https://www.onninen.fi/green-transfo-jakelumuuntaja-sphera-dt-t2-100-kva-1-0-4/p/CNC664</text>
    <extLst>
      <x:ext xmlns:xltc2="http://schemas.microsoft.com/office/spreadsheetml/2020/threadedcomments2" uri="{F7C98A9C-CBB3-438F-8F68-D28B6AF4A901}">
        <xltc2:checksum>4286347830</xltc2:checksum>
        <xltc2:hyperlink startIndex="0" length="87" url="https://www.onninen.fi/green-transfo-jakelumuuntaja-sphera-dt-t2-100-kva-1-0-4/p/CNC664"/>
      </x:ext>
    </extLst>
  </threadedComment>
  <threadedComment ref="AM60" dT="2024-11-27T08:51:49.74" personId="{68FE641C-13D6-414F-A435-AD08A2569DF6}" id="{34417322-7478-49E2-8AB3-226D30F966EC}">
    <text xml:space="preserve">https://www.onninen.fi/green-transfo-jakelumuuntaja-sphera-dt-t2-30-kva-1-0-4/p/CNC669
</text>
    <extLst>
      <x:ext xmlns:xltc2="http://schemas.microsoft.com/office/spreadsheetml/2020/threadedcomments2" uri="{F7C98A9C-CBB3-438F-8F68-D28B6AF4A901}">
        <xltc2:checksum>476545604</xltc2:checksum>
        <xltc2:hyperlink startIndex="0" length="86" url="https://www.onninen.fi/green-transfo-jakelumuuntaja-sphera-dt-t2-30-kva-1-0-4/p/CNC669"/>
      </x:ext>
    </extLst>
  </threadedComment>
  <threadedComment ref="AM61" dT="2024-11-27T08:51:33.51" personId="{68FE641C-13D6-414F-A435-AD08A2569DF6}" id="{D1A26DE2-DABB-44C3-8791-6C2F96F9BB51}">
    <text xml:space="preserve">https://www.onninen.fi/green-transfo-jakelumuuntaja-sphera-dt-t2-50-kva-1-0-4/p/CNC665
</text>
    <extLst>
      <x:ext xmlns:xltc2="http://schemas.microsoft.com/office/spreadsheetml/2020/threadedcomments2" uri="{F7C98A9C-CBB3-438F-8F68-D28B6AF4A901}">
        <xltc2:checksum>2348826786</xltc2:checksum>
        <xltc2:hyperlink startIndex="0" length="86" url="https://www.onninen.fi/green-transfo-jakelumuuntaja-sphera-dt-t2-50-kva-1-0-4/p/CNC665"/>
      </x:ext>
    </extLst>
  </threadedComment>
  <threadedComment ref="AM64" dT="2025-05-08T05:02:59.51" personId="{68FE641C-13D6-414F-A435-AD08A2569DF6}" id="{5AD8832C-5CBD-4AAB-8BAC-184B707BD3D0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3827673287</xltc2:checksum>
        <xltc2:hyperlink startIndex="57" length="62" url="https://www.onninen.fi/utu-muuntamo-2-1-ral-7024-9005/p/CAK108"/>
      </x:ext>
    </extLst>
  </threadedComment>
  <threadedComment ref="F78" dT="2025-03-26T13:15:07.21" personId="{68FE641C-13D6-414F-A435-AD08A2569DF6}" id="{0B4F915E-7F6D-4986-9C60-0E51537DEE1F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X78" dT="2025-03-26T13:26:18.53" personId="{68FE641C-13D6-414F-A435-AD08A2569DF6}" id="{114AD320-1AE1-4721-A447-E3A732D58FFB}">
    <text>AMKA 70mm2, 10m</text>
  </threadedComment>
  <threadedComment ref="F79" dT="2025-03-26T13:15:07.21" personId="{68FE641C-13D6-414F-A435-AD08A2569DF6}" id="{63427B74-AAB8-443C-91B7-1BBF31E6EC65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X79" dT="2025-03-26T13:26:18.53" personId="{68FE641C-13D6-414F-A435-AD08A2569DF6}" id="{59148478-FE50-48B4-8488-6711B21515D1}">
    <text>AMKA 70mm2, 10m</text>
  </threadedComment>
  <threadedComment ref="AM81" dT="2025-05-05T19:32:12.58" personId="{68FE641C-13D6-414F-A435-AD08A2569DF6}" id="{C72A9910-592E-4CAF-B2BA-E6EFCB062050}">
    <text>https://datasheet.prysmian.com/pdf/datasheet/fi-FI/329126/FI00_ACSR</text>
    <extLst>
      <x:ext xmlns:xltc2="http://schemas.microsoft.com/office/spreadsheetml/2020/threadedcomments2" uri="{F7C98A9C-CBB3-438F-8F68-D28B6AF4A901}">
        <xltc2:checksum>3854953088</xltc2:checksum>
        <xltc2:hyperlink startIndex="0" length="67" url="https://datasheet.prysmian.com/pdf/datasheet/fi-FI/329126/FI00_ACSR"/>
      </x:ext>
    </extLst>
  </threadedComment>
  <threadedComment ref="AM82" dT="2025-05-05T19:32:18.57" personId="{68FE641C-13D6-414F-A435-AD08A2569DF6}" id="{C02F2026-CD9A-4C60-9E03-3B767FF7F2B8}">
    <text>https://datasheet.prysmian.com/pdf/datasheet/fi-FI/329126/FI00_ACSR</text>
    <extLst>
      <x:ext xmlns:xltc2="http://schemas.microsoft.com/office/spreadsheetml/2020/threadedcomments2" uri="{F7C98A9C-CBB3-438F-8F68-D28B6AF4A901}">
        <xltc2:checksum>3854953088</xltc2:checksum>
        <xltc2:hyperlink startIndex="0" length="67" url="https://datasheet.prysmian.com/pdf/datasheet/fi-FI/329126/FI00_ACSR"/>
      </x:ext>
    </extLst>
  </threadedComment>
  <threadedComment ref="AM83" dT="2025-05-05T19:32:22.16" personId="{68FE641C-13D6-414F-A435-AD08A2569DF6}" id="{0B5AA885-1D75-4AC4-8156-FC5D99492DA8}">
    <text>https://datasheet.prysmian.com/pdf/datasheet/fi-FI/329126/FI00_ACSR</text>
    <extLst>
      <x:ext xmlns:xltc2="http://schemas.microsoft.com/office/spreadsheetml/2020/threadedcomments2" uri="{F7C98A9C-CBB3-438F-8F68-D28B6AF4A901}">
        <xltc2:checksum>3854953088</xltc2:checksum>
        <xltc2:hyperlink startIndex="0" length="67" url="https://datasheet.prysmian.com/pdf/datasheet/fi-FI/329126/FI00_ACSR"/>
      </x:ext>
    </extLst>
  </threadedComment>
  <threadedComment ref="AM88" dT="2025-05-05T19:31:45.16" personId="{68FE641C-13D6-414F-A435-AD08A2569DF6}" id="{4DD865BF-58B4-40CA-B5CF-2AA1930D97AD}">
    <text>https://kesko-onninen-pim-resources-production.s3-eu-west-1.amazonaws.com/pimdocuments/FISTK_0122259_10052.pdf</text>
    <extLst>
      <x:ext xmlns:xltc2="http://schemas.microsoft.com/office/spreadsheetml/2020/threadedcomments2" uri="{F7C98A9C-CBB3-438F-8F68-D28B6AF4A901}">
        <xltc2:checksum>1844228954</xltc2:checksum>
        <xltc2:hyperlink startIndex="0" length="110" url="https://kesko-onninen-pim-resources-production.s3-eu-west-1.amazonaws.com/pimdocuments/FISTK_0122259_10052.pdf"/>
      </x:ext>
    </extLst>
  </threadedComment>
  <threadedComment ref="AM90" dT="2025-05-05T19:31:45.16" personId="{68FE641C-13D6-414F-A435-AD08A2569DF6}" id="{6D0DE158-173A-41C0-A8DF-A4D203A3967D}">
    <text>https://kesko-onninen-pim-resources-production.s3-eu-west-1.amazonaws.com/pimdocuments/FISTK_0122259_10052.pdf</text>
    <extLst>
      <x:ext xmlns:xltc2="http://schemas.microsoft.com/office/spreadsheetml/2020/threadedcomments2" uri="{F7C98A9C-CBB3-438F-8F68-D28B6AF4A901}">
        <xltc2:checksum>1844228954</xltc2:checksum>
        <xltc2:hyperlink startIndex="0" length="110" url="https://kesko-onninen-pim-resources-production.s3-eu-west-1.amazonaws.com/pimdocuments/FISTK_0122259_10052.pdf"/>
      </x:ext>
    </extLst>
  </threadedComment>
  <threadedComment ref="AM91" dT="2025-05-05T19:39:08.45" personId="{68FE641C-13D6-414F-A435-AD08A2569DF6}" id="{E6BDE073-D332-488F-89A3-28B10BFA4171}">
    <text>https://www.reka.fi/tuoteryhma/ahxamk-wm-12-20-24-kv-3-johdin/</text>
    <extLst>
      <x:ext xmlns:xltc2="http://schemas.microsoft.com/office/spreadsheetml/2020/threadedcomments2" uri="{F7C98A9C-CBB3-438F-8F68-D28B6AF4A901}">
        <xltc2:checksum>560308503</xltc2:checksum>
        <xltc2:hyperlink startIndex="0" length="62" url="https://www.reka.fi/tuoteryhma/ahxamk-wm-12-20-24-kv-3-johdin/"/>
      </x:ext>
    </extLst>
  </threadedComment>
  <threadedComment ref="AM92" dT="2025-05-05T19:39:08.45" personId="{68FE641C-13D6-414F-A435-AD08A2569DF6}" id="{6F090260-494B-46EC-8724-58E14BBE48B2}">
    <text>https://www.reka.fi/tuoteryhma/ahxamk-wm-12-20-24-kv-3-johdin/</text>
    <extLst>
      <x:ext xmlns:xltc2="http://schemas.microsoft.com/office/spreadsheetml/2020/threadedcomments2" uri="{F7C98A9C-CBB3-438F-8F68-D28B6AF4A901}">
        <xltc2:checksum>560308503</xltc2:checksum>
        <xltc2:hyperlink startIndex="0" length="62" url="https://www.reka.fi/tuoteryhma/ahxamk-wm-12-20-24-kv-3-johdin/"/>
      </x:ext>
    </extLst>
  </threadedComment>
  <threadedComment ref="AM94" dT="2025-05-05T19:39:08.45" personId="{68FE641C-13D6-414F-A435-AD08A2569DF6}" id="{3F8B0DAC-9286-4844-BCC4-C967FEC8B3FA}">
    <text>https://www.reka.fi/tuoteryhma/ahxamk-wm-12-20-24-kv-3-johdin/</text>
    <extLst>
      <x:ext xmlns:xltc2="http://schemas.microsoft.com/office/spreadsheetml/2020/threadedcomments2" uri="{F7C98A9C-CBB3-438F-8F68-D28B6AF4A901}">
        <xltc2:checksum>560308503</xltc2:checksum>
        <xltc2:hyperlink startIndex="0" length="62" url="https://www.reka.fi/tuoteryhma/ahxamk-wm-12-20-24-kv-3-johdin/"/>
      </x:ext>
    </extLst>
  </threadedComment>
  <threadedComment ref="F96" dT="2025-03-26T13:15:07.21" personId="{68FE641C-13D6-414F-A435-AD08A2569DF6}" id="{635FAA52-F610-4D3D-A84E-939ABA4D2F02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F97" dT="2025-03-26T13:15:07.21" personId="{68FE641C-13D6-414F-A435-AD08A2569DF6}" id="{4E859767-DB47-4028-B492-B1CEE89A3CFC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F98" dT="2025-03-26T13:15:07.21" personId="{68FE641C-13D6-414F-A435-AD08A2569DF6}" id="{201510D9-BA3C-4099-949B-3DF147BB3347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F99" dT="2025-03-26T13:15:07.21" personId="{68FE641C-13D6-414F-A435-AD08A2569DF6}" id="{4C1674AB-9C54-4386-874C-8F7D70BD7AF9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F101" dT="2025-03-26T13:15:07.21" personId="{68FE641C-13D6-414F-A435-AD08A2569DF6}" id="{871E08F1-E37F-447D-AAE0-ECADE5B364C2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F102" dT="2025-03-26T13:15:07.21" personId="{68FE641C-13D6-414F-A435-AD08A2569DF6}" id="{00D8739D-225D-4FD0-9B1B-218B91E341AD}">
    <text xml:space="preserve">ABB:n osastolla (verkostomessut 2025)käytiin keskustelua kyseisen erottimen ja ilmajohtorakenteissa käytettävän erottimen päästötiedoista. Heillä ei ollut EPD:tä ilmajohtoverkossa käytettävälle erottimelle. Osastolla oli esillä molemmat erottimet (tämän EPD: erotin, sekä ilmajohtoverkossa käytettävä erotin). Komponentit ovat pääpiirteittäin samanlaiset, mm. metallirunko on erilainen. Näillä huomioilla käytämme tätä EPD:n päästötietoa tässä kohtaa.
https://www.epd-norge.no/getfile.php/13185643-1741664627/EPDer/Byggevarer/NEPD-5473-4764_NAL-----MV-indoor-air-switch-disconnector.pdf
</text>
    <extLst>
      <x:ext xmlns:xltc2="http://schemas.microsoft.com/office/spreadsheetml/2020/threadedcomments2" uri="{F7C98A9C-CBB3-438F-8F68-D28B6AF4A901}">
        <xltc2:checksum>221234919</xltc2:checksum>
        <xltc2:hyperlink startIndex="453" length="134" url="https://www.epd-norge.no/getfile.php/13185643-1741664627/EPDer/Byggevarer/NEPD-5473-4764_NAL-----MV-indoor-air-switch-disconnector.pdf"/>
      </x:ext>
    </extLst>
  </threadedComment>
  <threadedComment ref="AM119" dT="2025-05-05T20:31:50.24" personId="{68FE641C-13D6-414F-A435-AD08A2569DF6}" id="{9D16389E-1002-4274-B941-40A4F12143E3}">
    <text>https://www.reka.fi/tuoteryhma/ahxamk-wp-12-20-24-kv-3-johdin/</text>
    <extLst>
      <x:ext xmlns:xltc2="http://schemas.microsoft.com/office/spreadsheetml/2020/threadedcomments2" uri="{F7C98A9C-CBB3-438F-8F68-D28B6AF4A901}">
        <xltc2:checksum>101420254</xltc2:checksum>
        <xltc2:hyperlink startIndex="0" length="62" url="https://www.reka.fi/tuoteryhma/ahxamk-wp-12-20-24-kv-3-johdin/"/>
      </x:ext>
    </extLst>
  </threadedComment>
  <threadedComment ref="AM120" dT="2025-05-05T20:31:54.34" personId="{68FE641C-13D6-414F-A435-AD08A2569DF6}" id="{285833F1-06E9-4ADA-80DB-92A3639A0C9E}">
    <text>https://www.reka.fi/tuoteryhma/ahxamk-wp-12-20-24-kv-3-johdin/</text>
    <extLst>
      <x:ext xmlns:xltc2="http://schemas.microsoft.com/office/spreadsheetml/2020/threadedcomments2" uri="{F7C98A9C-CBB3-438F-8F68-D28B6AF4A901}">
        <xltc2:checksum>101420254</xltc2:checksum>
        <xltc2:hyperlink startIndex="0" length="62" url="https://www.reka.fi/tuoteryhma/ahxamk-wp-12-20-24-kv-3-johdin/"/>
      </x:ext>
    </extLst>
  </threadedComment>
  <threadedComment ref="AM122" dT="2025-05-05T20:31:57.52" personId="{68FE641C-13D6-414F-A435-AD08A2569DF6}" id="{B52BF139-7806-4DDB-9FF4-4969EEFD0014}">
    <text>https://www.reka.fi/tuoteryhma/ahxamk-wp-12-20-24-kv-3-johdin/</text>
    <extLst>
      <x:ext xmlns:xltc2="http://schemas.microsoft.com/office/spreadsheetml/2020/threadedcomments2" uri="{F7C98A9C-CBB3-438F-8F68-D28B6AF4A901}">
        <xltc2:checksum>101420254</xltc2:checksum>
        <xltc2:hyperlink startIndex="0" length="62" url="https://www.reka.fi/tuoteryhma/ahxamk-wp-12-20-24-kv-3-johdin/"/>
      </x:ext>
    </extLst>
  </threadedComment>
  <threadedComment ref="AM123" dT="2025-05-05T20:32:13.11" personId="{68FE641C-13D6-414F-A435-AD08A2569DF6}" id="{2E0F41BA-730C-4529-A23E-E5A38916E2EA}">
    <text>https://www.reka.fi/tuoteryhma/ahxamk-wp-12-20-24-kv-3-johdin/</text>
    <extLst>
      <x:ext xmlns:xltc2="http://schemas.microsoft.com/office/spreadsheetml/2020/threadedcomments2" uri="{F7C98A9C-CBB3-438F-8F68-D28B6AF4A901}">
        <xltc2:checksum>101420254</xltc2:checksum>
        <xltc2:hyperlink startIndex="0" length="62" url="https://www.reka.fi/tuoteryhma/ahxamk-wp-12-20-24-kv-3-johdin/"/>
      </x:ext>
    </extLst>
  </threadedComment>
  <threadedComment ref="AM124" dT="2025-05-05T20:32:17.46" personId="{68FE641C-13D6-414F-A435-AD08A2569DF6}" id="{89FE4117-B359-4AF9-A72C-799AEA438EDC}">
    <text>https://www.reka.fi/tuoteryhma/ahxamk-wp-12-20-24-kv-3-johdin/</text>
    <extLst>
      <x:ext xmlns:xltc2="http://schemas.microsoft.com/office/spreadsheetml/2020/threadedcomments2" uri="{F7C98A9C-CBB3-438F-8F68-D28B6AF4A901}">
        <xltc2:checksum>101420254</xltc2:checksum>
        <xltc2:hyperlink startIndex="0" length="62" url="https://www.reka.fi/tuoteryhma/ahxamk-wp-12-20-24-kv-3-johdin/"/>
      </x:ext>
    </extLst>
  </threadedComment>
  <threadedComment ref="AM130" dT="2025-05-05T20:45:23.00" personId="{68FE641C-13D6-414F-A435-AD08A2569DF6}" id="{585630D9-4881-4B46-BE3A-424C66E7DB64}">
    <text xml:space="preserve">https://www.reka.fi/tuoteryhma/ahxamk-w-12-20-24-kv-3-johdin/
</text>
    <extLst>
      <x:ext xmlns:xltc2="http://schemas.microsoft.com/office/spreadsheetml/2020/threadedcomments2" uri="{F7C98A9C-CBB3-438F-8F68-D28B6AF4A901}">
        <xltc2:checksum>4102150272</xltc2:checksum>
        <xltc2:hyperlink startIndex="0" length="61" url="https://www.reka.fi/tuoteryhma/ahxamk-w-12-20-24-kv-3-johdin/"/>
      </x:ext>
    </extLst>
  </threadedComment>
  <threadedComment ref="AM131" dT="2025-05-05T20:45:28.08" personId="{68FE641C-13D6-414F-A435-AD08A2569DF6}" id="{07C19999-CE69-44F3-958D-4C19AFC9BC44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32" dT="2025-05-05T20:45:31.71" personId="{68FE641C-13D6-414F-A435-AD08A2569DF6}" id="{4060BA53-4E4E-43C3-902A-6AC0EC126EAB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33" dT="2025-05-05T20:45:35.02" personId="{68FE641C-13D6-414F-A435-AD08A2569DF6}" id="{FB141F9F-44A4-4336-8A48-7B692FD4458C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34" dT="2025-05-05T20:45:38.65" personId="{68FE641C-13D6-414F-A435-AD08A2569DF6}" id="{C6016A71-8013-45B0-AF56-8BEAF1EC9A3C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35" dT="2025-05-05T20:45:41.60" personId="{68FE641C-13D6-414F-A435-AD08A2569DF6}" id="{FEFFACC4-7C3C-4844-9FE6-571C28A2E321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36" dT="2025-05-05T20:45:44.97" personId="{68FE641C-13D6-414F-A435-AD08A2569DF6}" id="{A3CB2CDE-8D56-48AB-9663-7FB775B2ED7C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41" dT="2025-05-05T20:09:08.58" personId="{68FE641C-13D6-414F-A435-AD08A2569DF6}" id="{711033CB-BA08-4B00-AEEE-97D8ADE2BFE6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42" dT="2025-05-05T20:09:08.58" personId="{68FE641C-13D6-414F-A435-AD08A2569DF6}" id="{01312737-D33C-4914-AF67-F1E04245E01C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43" dT="2025-05-05T20:09:08.58" personId="{68FE641C-13D6-414F-A435-AD08A2569DF6}" id="{5CA6602D-D221-43BB-B56D-E6560127A0BF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44" dT="2025-05-08T05:02:48.53" personId="{68FE641C-13D6-414F-A435-AD08A2569DF6}" id="{718E722E-C7E8-4D29-9F38-4CD34F9304DA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3827673287</xltc2:checksum>
        <xltc2:hyperlink startIndex="57" length="62" url="https://www.onninen.fi/utu-muuntamo-2-1-ral-7024-9005/p/CAK108"/>
      </x:ext>
    </extLst>
  </threadedComment>
  <threadedComment ref="AM145" dT="2025-05-08T05:02:51.90" personId="{68FE641C-13D6-414F-A435-AD08A2569DF6}" id="{E90A8AD0-913A-4FC2-910A-64291DA7664F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3827673287</xltc2:checksum>
        <xltc2:hyperlink startIndex="57" length="62" url="https://www.onninen.fi/utu-muuntamo-2-1-ral-7024-9005/p/CAK108"/>
      </x:ext>
    </extLst>
  </threadedComment>
  <threadedComment ref="AM150" dT="2025-05-05T20:45:23.00" personId="{68FE641C-13D6-414F-A435-AD08A2569DF6}" id="{F6B558D0-DCCD-4B33-BD78-95DC990F8B6E}">
    <text xml:space="preserve">https://www.reka.fi/tuoteryhma/ahxamk-w-12-20-24-kv-3-johdin/
</text>
    <extLst>
      <x:ext xmlns:xltc2="http://schemas.microsoft.com/office/spreadsheetml/2020/threadedcomments2" uri="{F7C98A9C-CBB3-438F-8F68-D28B6AF4A901}">
        <xltc2:checksum>4102150272</xltc2:checksum>
        <xltc2:hyperlink startIndex="0" length="61" url="https://www.reka.fi/tuoteryhma/ahxamk-w-12-20-24-kv-3-johdin/"/>
      </x:ext>
    </extLst>
  </threadedComment>
  <threadedComment ref="AM151" dT="2025-05-05T20:45:28.08" personId="{68FE641C-13D6-414F-A435-AD08A2569DF6}" id="{88FA78D0-BA63-48C6-8C87-A5CFD0E86049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52" dT="2025-05-05T20:45:31.71" personId="{68FE641C-13D6-414F-A435-AD08A2569DF6}" id="{F7EA2F11-0D32-41CF-A9CC-C0ED9ACD64CB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53" dT="2025-05-05T20:45:35.02" personId="{68FE641C-13D6-414F-A435-AD08A2569DF6}" id="{B44087F2-851F-4BD8-A174-11A48B620C23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54" dT="2025-05-05T20:45:38.65" personId="{68FE641C-13D6-414F-A435-AD08A2569DF6}" id="{86784A9B-DF78-41E8-84A8-06A685888E6F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55" dT="2025-05-05T20:45:41.60" personId="{68FE641C-13D6-414F-A435-AD08A2569DF6}" id="{7CE79B83-3BBD-4C2C-9613-A25DAD221D6D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M156" dT="2025-05-05T20:45:44.97" personId="{68FE641C-13D6-414F-A435-AD08A2569DF6}" id="{8D0530C0-DE4D-441A-9056-3B925E1ECAC9}">
    <text>https://www.reka.fi/tuoteryhma/ahxamk-w-12-20-24-kv-3-johdin/</text>
    <extLst>
      <x:ext xmlns:xltc2="http://schemas.microsoft.com/office/spreadsheetml/2020/threadedcomments2" uri="{F7C98A9C-CBB3-438F-8F68-D28B6AF4A901}">
        <xltc2:checksum>1803613375</xltc2:checksum>
        <xltc2:hyperlink startIndex="0" length="61" url="https://www.reka.fi/tuoteryhma/ahxamk-w-12-20-24-kv-3-johdin/"/>
      </x:ext>
    </extLst>
  </threadedComment>
  <threadedComment ref="AK164" dT="2025-04-03T11:57:03.16" personId="{68FE641C-13D6-414F-A435-AD08A2569DF6}" id="{2B5F7113-11A1-42FC-9768-74EDCD3DF4AE}">
    <text xml:space="preserve">
Kaivinkoneen päästö / tunti kerrottuna työhön menevällä tuntimäärällä.
KKH 21
https://co2data.fi/infra/#fi_id7100000855</text>
    <extLst>
      <x:ext xmlns:xltc2="http://schemas.microsoft.com/office/spreadsheetml/2020/threadedcomments2" uri="{F7C98A9C-CBB3-438F-8F68-D28B6AF4A901}">
        <xltc2:checksum>2103493211</xltc2:checksum>
        <xltc2:hyperlink startIndex="80" length="41" url="https://co2data.fi/infra/#fi_id7100000855"/>
      </x:ext>
    </extLst>
  </threadedComment>
  <threadedComment ref="AK165" dT="2025-04-03T11:57:03.16" personId="{68FE641C-13D6-414F-A435-AD08A2569DF6}" id="{743CD06B-1A6B-49BA-B85D-8C4850D1442F}">
    <text xml:space="preserve">
Kaivinkoneen päästö / tunti kerrottuna työhön menevällä tuntimäärällä.
KKH 21
https://co2data.fi/infra/#fi_id7100000855</text>
    <extLst>
      <x:ext xmlns:xltc2="http://schemas.microsoft.com/office/spreadsheetml/2020/threadedcomments2" uri="{F7C98A9C-CBB3-438F-8F68-D28B6AF4A901}">
        <xltc2:checksum>2103493211</xltc2:checksum>
        <xltc2:hyperlink startIndex="80" length="41" url="https://co2data.fi/infra/#fi_id7100000855"/>
      </x:ext>
    </extLst>
  </threadedComment>
  <threadedComment ref="AK166" dT="2025-04-03T11:57:03.16" personId="{68FE641C-13D6-414F-A435-AD08A2569DF6}" id="{5435F8F4-9314-40EA-A11D-45AFF337214C}">
    <text>AL solussa kaava, jossa 1000m jaettuna aurauksen / louhinnan / kaivun etenemisnopeudella (tunnissa).
KKH 21
https://co2data.fi/infra/#fi_id7100000855
Esim 1000m/200m/h = 5h, joka on kerrottuna kaivinkoneen tuntikohtaisella päästötiedolla.</text>
    <extLst>
      <x:ext xmlns:xltc2="http://schemas.microsoft.com/office/spreadsheetml/2020/threadedcomments2" uri="{F7C98A9C-CBB3-438F-8F68-D28B6AF4A901}">
        <xltc2:checksum>1204474351</xltc2:checksum>
        <xltc2:hyperlink startIndex="109" length="41" url="https://co2data.fi/infra/#fi_id7100000855"/>
      </x:ext>
    </extLst>
  </threadedComment>
  <threadedComment ref="AK167" dT="2025-04-03T11:57:03.16" personId="{68FE641C-13D6-414F-A435-AD08A2569DF6}" id="{AFB1340E-EB0D-40AF-B492-99FAB1477382}">
    <text>AL solussa kaava, jossa 1000m jaettuna aurauksen / louhinnan / kaivun etenemisnopeudella (tunnissa).
KKH 21
https://co2data.fi/infra/#fi_id7100000855
Esim 1000m/200m/h = 5h, joka on kerrottuna kaivinkoneen tuntikohtaisella päästötiedolla.</text>
    <extLst>
      <x:ext xmlns:xltc2="http://schemas.microsoft.com/office/spreadsheetml/2020/threadedcomments2" uri="{F7C98A9C-CBB3-438F-8F68-D28B6AF4A901}">
        <xltc2:checksum>1204474351</xltc2:checksum>
        <xltc2:hyperlink startIndex="109" length="41" url="https://co2data.fi/infra/#fi_id7100000855"/>
      </x:ext>
    </extLst>
  </threadedComment>
  <threadedComment ref="AK168" dT="2025-04-03T11:57:03.16" personId="{68FE641C-13D6-414F-A435-AD08A2569DF6}" id="{78864A5A-DDD6-4190-9522-6164BD3699AC}">
    <text>AI solussa kaava, jossa 1000m jaettuna  louhinnan sekä kaivun etenemisnopeudella (tunnissa).
KKH 21
https://co2data.fi/infra/#fi_id7100000855
Esim 1000m/10m/h = 100h, joka on kerrottuna kaivinkoneen tuntikohtaisella päästötiedolla.
Tässä on arvioitu louhinnan eteneminen ja pintamaan kaivuun eteneminen erikseen, jotka on summattuna.</text>
    <extLst>
      <x:ext xmlns:xltc2="http://schemas.microsoft.com/office/spreadsheetml/2020/threadedcomments2" uri="{F7C98A9C-CBB3-438F-8F68-D28B6AF4A901}">
        <xltc2:checksum>2351190897</xltc2:checksum>
        <xltc2:hyperlink startIndex="101" length="41" url="https://co2data.fi/infra/#fi_id7100000855"/>
      </x:ext>
    </extLst>
  </threadedComment>
  <threadedComment ref="AK169" dT="2025-04-03T11:57:03.16" personId="{68FE641C-13D6-414F-A435-AD08A2569DF6}" id="{5543C497-0679-45AC-84C7-EB1349DD1A6D}">
    <text>AL solussa kaava, jossa 1000m jaettuna aurauksen / louhinnan / kaivun etenemisnopeudella (tunnissa).
KKH 21
https://co2data.fi/infra/#fi_id7100000855
Esim 1000m/200m/h = 5h, joka on kerrottuna kaivinkoneen tuntikohtaisella päästötiedolla.</text>
    <extLst>
      <x:ext xmlns:xltc2="http://schemas.microsoft.com/office/spreadsheetml/2020/threadedcomments2" uri="{F7C98A9C-CBB3-438F-8F68-D28B6AF4A901}">
        <xltc2:checksum>1204474351</xltc2:checksum>
        <xltc2:hyperlink startIndex="109" length="41" url="https://co2data.fi/infra/#fi_id7100000855"/>
      </x:ext>
    </extLst>
  </threadedComment>
  <threadedComment ref="AK170" dT="2025-04-03T11:57:03.16" personId="{68FE641C-13D6-414F-A435-AD08A2569DF6}" id="{0080DC85-AAD7-488E-9CEC-C07D8A2A1752}">
    <text>AL solussa kaava, jossa 1000m jaettuna aurauksen / louhinnan / kaivun etenemisnopeudella (tunnissa).
KKH 21
https://co2data.fi/infra/#fi_id7100000855
Esim 1000m/200m/h = 5h, joka on kerrottuna kaivinkoneen tuntikohtaisella päästötiedolla.</text>
    <extLst>
      <x:ext xmlns:xltc2="http://schemas.microsoft.com/office/spreadsheetml/2020/threadedcomments2" uri="{F7C98A9C-CBB3-438F-8F68-D28B6AF4A901}">
        <xltc2:checksum>1204474351</xltc2:checksum>
        <xltc2:hyperlink startIndex="109" length="41" url="https://co2data.fi/infra/#fi_id7100000855"/>
      </x:ext>
    </extLst>
  </threadedComment>
  <threadedComment ref="AK171" dT="2025-04-04T06:26:41.89" personId="{68FE641C-13D6-414F-A435-AD08A2569DF6}" id="{241149F3-A651-4D16-A117-95FE4596AAC4}">
    <text>SYKE:n arvo 0,047 kg CO2e / kg (A1-A3) * hukkakerroin 1,05 (SYKE) * 100kg asfaltia / neliömetri. 
Asfaltin A1-A5 päästöjen jakautuminen, josta arvioitu kuljetus työmaalle (A4) ja levityksen (A5) osuudeksi kokonaisuudesta 20%.
https://omainfra.fi/media/doin1xg3/2-koskenranta.pdf</text>
    <extLst>
      <x:ext xmlns:xltc2="http://schemas.microsoft.com/office/spreadsheetml/2020/threadedcomments2" uri="{F7C98A9C-CBB3-438F-8F68-D28B6AF4A901}">
        <xltc2:checksum>3054860279</xltc2:checksum>
        <xltc2:hyperlink startIndex="227" length="52" url="https://omainfra.fi/media/doin1xg3/2-koskenranta.pdf"/>
      </x:ext>
    </extLst>
  </threadedComment>
  <threadedComment ref="AM179" dT="2025-05-08T05:02:11.13" personId="{68FE641C-13D6-414F-A435-AD08A2569DF6}" id="{5E76757E-C2D0-4B34-A286-6D6C3134AA15}">
    <text>Kopin painosta ei tietoa.
Paino on arvioitu tämän painon https://www.onninen.fi/utu-muuntamo-2-1-ral-7024-9005/p/CAK108
mukaan, jonka päästöarvo taulukossa on 1849,3. 
Painoarvio muodostuu tämän yksikön päästötiedon ja 1849,3 (4200kg kopin) päästöarvion suhteesta.</text>
    <extLst>
      <x:ext xmlns:xltc2="http://schemas.microsoft.com/office/spreadsheetml/2020/threadedcomments2" uri="{F7C98A9C-CBB3-438F-8F68-D28B6AF4A901}">
        <xltc2:checksum>4231652421</xltc2:checksum>
        <xltc2:hyperlink startIndex="57" length="62" url="https://www.onninen.fi/utu-muuntamo-2-1-ral-7024-9005/p/CAK108"/>
      </x:ext>
    </extLst>
  </threadedComment>
  <threadedComment ref="AM180" dT="2025-05-05T20:09:08.58" personId="{68FE641C-13D6-414F-A435-AD08A2569DF6}" id="{6EA01BAF-CFA3-4EA5-84B1-101D1DC2B681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81" dT="2025-05-05T20:09:08.58" personId="{68FE641C-13D6-414F-A435-AD08A2569DF6}" id="{C28AD3A5-AEC5-4586-9791-5E2AE70BE51C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82" dT="2025-05-05T20:09:08.58" personId="{68FE641C-13D6-414F-A435-AD08A2569DF6}" id="{F535B0F8-7AAC-4E7A-B3AE-A4ECFFBCB0A0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83" dT="2025-05-08T05:02:26.77" personId="{68FE641C-13D6-414F-A435-AD08A2569DF6}" id="{D314755E-4943-41F8-8577-960A8287473D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2829594099</xltc2:checksum>
        <xltc2:hyperlink startIndex="57" length="62" url="https://www.onninen.fi/utu-muuntamo-2-1-ral-7024-9005/p/CAK108"/>
      </x:ext>
    </extLst>
  </threadedComment>
  <threadedComment ref="AM189" dT="2025-05-05T20:09:08.58" personId="{68FE641C-13D6-414F-A435-AD08A2569DF6}" id="{FE6345EE-D4DB-4289-8608-56F6CD3B502D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90" dT="2025-05-05T20:09:08.58" personId="{68FE641C-13D6-414F-A435-AD08A2569DF6}" id="{5594B4FF-827E-40E9-8E1C-903959A45724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91" dT="2025-05-05T20:09:08.58" personId="{68FE641C-13D6-414F-A435-AD08A2569DF6}" id="{C034FCA5-EA8F-44D8-86BC-FBA7C872A873}">
    <text>https://www.onninen.fi/utu-muuntamo-2-1-ral-7024-9005/p/CAK108</text>
    <extLst>
      <x:ext xmlns:xltc2="http://schemas.microsoft.com/office/spreadsheetml/2020/threadedcomments2" uri="{F7C98A9C-CBB3-438F-8F68-D28B6AF4A901}">
        <xltc2:checksum>2942286452</xltc2:checksum>
        <xltc2:hyperlink startIndex="0" length="62" url="https://www.onninen.fi/utu-muuntamo-2-1-ral-7024-9005/p/CAK108"/>
      </x:ext>
    </extLst>
  </threadedComment>
  <threadedComment ref="AM192" dT="2025-05-08T05:02:32.24" personId="{68FE641C-13D6-414F-A435-AD08A2569DF6}" id="{B1DC89C0-9994-4B92-905E-BF919E542F48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3827673287</xltc2:checksum>
        <xltc2:hyperlink startIndex="57" length="62" url="https://www.onninen.fi/utu-muuntamo-2-1-ral-7024-9005/p/CAK108"/>
      </x:ext>
    </extLst>
  </threadedComment>
  <threadedComment ref="AM193" dT="2025-05-08T05:02:35.84" personId="{68FE641C-13D6-414F-A435-AD08A2569DF6}" id="{0CB6992A-6040-444E-8FB2-89C828CBE44C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3827673287</xltc2:checksum>
        <xltc2:hyperlink startIndex="57" length="62" url="https://www.onninen.fi/utu-muuntamo-2-1-ral-7024-9005/p/CAK108"/>
      </x:ext>
    </extLst>
  </threadedComment>
  <threadedComment ref="AM199" dT="2025-05-05T20:07:19.28" personId="{68FE641C-13D6-414F-A435-AD08A2569DF6}" id="{8AAB8295-EDE7-428C-A97B-FE92D53D4689}">
    <text xml:space="preserve">https://www.rudus.fi/tuotteet/infraelementit/muuntamorakennukset/1718/puistomuuntamo?tab=tuote&amp;ProductId=4023
</text>
    <extLst>
      <x:ext xmlns:xltc2="http://schemas.microsoft.com/office/spreadsheetml/2020/threadedcomments2" uri="{F7C98A9C-CBB3-438F-8F68-D28B6AF4A901}">
        <xltc2:checksum>1610626507</xltc2:checksum>
        <xltc2:hyperlink startIndex="0" length="109" url="https://www.rudus.fi/tuotteet/infraelementit/muuntamorakennukset/1718/puistomuuntamo?tab=tuote&amp;ProductId=4023"/>
      </x:ext>
    </extLst>
  </threadedComment>
  <threadedComment ref="AM200" dT="2025-05-05T20:07:19.28" personId="{68FE641C-13D6-414F-A435-AD08A2569DF6}" id="{CED461C3-AE90-4ECC-BE21-59B7D457766C}">
    <text xml:space="preserve">https://www.rudus.fi/tuotteet/infraelementit/muuntamorakennukset/1718/puistomuuntamo?tab=tuote&amp;ProductId=4023
</text>
    <extLst>
      <x:ext xmlns:xltc2="http://schemas.microsoft.com/office/spreadsheetml/2020/threadedcomments2" uri="{F7C98A9C-CBB3-438F-8F68-D28B6AF4A901}">
        <xltc2:checksum>1610626507</xltc2:checksum>
        <xltc2:hyperlink startIndex="0" length="109" url="https://www.rudus.fi/tuotteet/infraelementit/muuntamorakennukset/1718/puistomuuntamo?tab=tuote&amp;ProductId=4023"/>
      </x:ext>
    </extLst>
  </threadedComment>
  <threadedComment ref="AM204" dT="2025-05-08T05:02:41.85" personId="{68FE641C-13D6-414F-A435-AD08A2569DF6}" id="{44464293-9761-4179-B125-82E58B540EDE}">
    <text xml:space="preserve">Kopin painosta ei tietoa.
Paino on arvioitu tämän painon https://www.onninen.fi/utu-muuntamo-2-1-ral-7024-9005/p/CAK108
mukaan, jonka päästöarvo taulukossa on 1849,3. 
Painoarvio muodostuu tämän yksikön päästötiedon ja 1849,3 (4200kg kopin) päästöarvion suhteesta.
</text>
    <extLst>
      <x:ext xmlns:xltc2="http://schemas.microsoft.com/office/spreadsheetml/2020/threadedcomments2" uri="{F7C98A9C-CBB3-438F-8F68-D28B6AF4A901}">
        <xltc2:checksum>3827673287</xltc2:checksum>
        <xltc2:hyperlink startIndex="57" length="62" url="https://www.onninen.fi/utu-muuntamo-2-1-ral-7024-9005/p/CAK108"/>
      </x:ext>
    </extLst>
  </threadedComment>
  <threadedComment ref="AM205" dT="2025-05-05T20:07:28.32" personId="{68FE641C-13D6-414F-A435-AD08A2569DF6}" id="{3252349C-0D94-467C-84C4-2DFD9E1A23DE}">
    <text>https://www.rudus.fi/tuotteet/infraelementit/muuntamorakennukset/1718/puistomuuntamo?tab=tuote&amp;ProductId=4023</text>
    <extLst>
      <x:ext xmlns:xltc2="http://schemas.microsoft.com/office/spreadsheetml/2020/threadedcomments2" uri="{F7C98A9C-CBB3-438F-8F68-D28B6AF4A901}">
        <xltc2:checksum>1475174438</xltc2:checksum>
        <xltc2:hyperlink startIndex="0" length="109" url="https://www.rudus.fi/tuotteet/infraelementit/muuntamorakennukset/1718/puistomuuntamo?tab=tuote&amp;ProductId=4023"/>
      </x:ext>
    </extLs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" dT="2025-05-05T12:36:54.59" personId="{68FE641C-13D6-414F-A435-AD08A2569DF6}" id="{A7B8EC90-2B79-4832-B970-237B9202C6F8}">
    <text>Maanrakentajien kulkemisen arviointiin.</text>
  </threadedComment>
  <threadedComment ref="H1" dT="2025-05-05T12:37:06.24" personId="{68FE641C-13D6-414F-A435-AD08A2569DF6}" id="{F298CFE3-B9B2-48B3-8ECB-9B38B1B58418}">
    <text>Maanrakentajien kulkemisen arviointiin.</text>
  </threadedComment>
  <threadedComment ref="K11" dT="2025-04-04T12:39:23.92" personId="{68FE641C-13D6-414F-A435-AD08A2569DF6}" id="{8B98216A-6C96-44F1-8A11-8F528151C345}">
    <text>https://stat.fi/artikkelit/2013/art_2013-12-09_003.html?s=4&amp;tulosta</text>
    <extLst>
      <x:ext xmlns:xltc2="http://schemas.microsoft.com/office/spreadsheetml/2020/threadedcomments2" uri="{F7C98A9C-CBB3-438F-8F68-D28B6AF4A901}">
        <xltc2:checksum>597646587</xltc2:checksum>
        <xltc2:hyperlink startIndex="0" length="67" url="https://stat.fi/artikkelit/2013/art_2013-12-09_003.html?s=4&amp;tulosta"/>
      </x:ext>
    </extLst>
  </threadedComment>
  <threadedComment ref="B16" dT="2025-03-25T12:11:00.59" personId="{68FE641C-13D6-414F-A435-AD08A2569DF6}" id="{69E1BB64-7383-4027-9954-15DA15A2CD88}">
    <text xml:space="preserve">Arvot co2data.fi
Pakettiauto (2,7 t), kantavuus 1,2 t, 0 % kuorma, maantieajo (238,81 g CO2e /km) ja 
Pakettiauto (2,7 t), kantavuus 1,2 t, 0 % kuorma, kaupunkiajo (299,16 g CO2e /km).
Keskiarvo, joka olettaa 15% kaupunkiajoa ja 85% maantieajoa.
</text>
  </threadedComment>
  <threadedComment ref="B17" dT="2025-03-25T12:11:00.59" personId="{68FE641C-13D6-414F-A435-AD08A2569DF6}" id="{EC7D3EFD-439D-4A60-8D35-351D6C0AE9D1}">
    <text xml:space="preserve">Arvot co2data.fi
Pakettiauto (2,7 t), kantavuus 1,2 t, 0 % kuorma, maantieajo (238,81 g CO2e /km) ja 
Pakettiauto (2,7 t), kantavuus 1,2 t, 0 % kuorma, kaupunkiajo (299,16 g CO2e /km).
keskiarvo, joka olettaa 15% kaupunkiajoa ja 85% maantieajoa.
</text>
  </threadedComment>
  <threadedComment ref="A25" dT="2025-04-08T09:42:55.39" personId="{68FE641C-13D6-414F-A435-AD08A2569DF6}" id="{F4A65356-7092-4FE6-80E8-223A1E137D54}">
    <text>Oletuksena kuljetus kotimaiselta komponenttivalmistajalta (kaapeli, muuntamo) sähköverkkotyömaalle / urakan varastolle.</text>
  </threadedComment>
  <threadedComment ref="A26" dT="2025-04-08T11:39:22.09" personId="{68FE641C-13D6-414F-A435-AD08A2569DF6}" id="{8A9B0722-BAFC-4157-82A6-D21DABD088E6}">
    <text>Viereisen taulukon keskiarvojen mukaan arvioitu, että 90% maantieajoa ja 10% kaupunkiajoa. Keskiarvojen mukaan, koska mahdollisti hajontaa.
Oletuksena Täysperävaunuyhdistelmä (60t).
https://co2data.fi/infra/reports/INFRA%20kuljetukset%20R01.00.pdf</text>
    <extLst>
      <x:ext xmlns:xltc2="http://schemas.microsoft.com/office/spreadsheetml/2020/threadedcomments2" uri="{F7C98A9C-CBB3-438F-8F68-D28B6AF4A901}">
        <xltc2:checksum>4183524173</xltc2:checksum>
        <xltc2:hyperlink startIndex="184" length="65" url="https://co2data.fi/infra/reports/INFRA%20kuljetukset%20R01.00.pdf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7" dT="2024-08-13T10:17:56.99" personId="{68FE641C-13D6-414F-A435-AD08A2569DF6}" id="{6D41D929-EF11-4C7D-88EF-7B92D3EAB385}">
    <text xml:space="preserve">https://www.environdec.com/library/epd1806
</text>
    <extLst>
      <x:ext xmlns:xltc2="http://schemas.microsoft.com/office/spreadsheetml/2020/threadedcomments2" uri="{F7C98A9C-CBB3-438F-8F68-D28B6AF4A901}">
        <xltc2:checksum>671244232</xltc2:checksum>
        <xltc2:hyperlink startIndex="0" length="42" url="https://www.environdec.com/library/epd1806"/>
      </x:ext>
    </extLst>
  </threadedComment>
  <threadedComment ref="C8" dT="2024-08-13T10:18:41.45" personId="{68FE641C-13D6-414F-A435-AD08A2569DF6}" id="{12AF8A4D-4206-40B0-9098-87ED435EF6FE}">
    <text>https://www.environdec.com/library/epd1903</text>
    <extLst>
      <x:ext xmlns:xltc2="http://schemas.microsoft.com/office/spreadsheetml/2020/threadedcomments2" uri="{F7C98A9C-CBB3-438F-8F68-D28B6AF4A901}">
        <xltc2:checksum>3198053960</xltc2:checksum>
        <xltc2:hyperlink startIndex="0" length="42" url="https://www.environdec.com/library/epd1903"/>
      </x:ext>
    </extLst>
  </threadedComment>
  <threadedComment ref="C9" dT="2024-08-13T10:19:07.73" personId="{68FE641C-13D6-414F-A435-AD08A2569DF6}" id="{18CE8C86-A2B2-4E6B-ADB0-50DD7BD11B8C}">
    <text xml:space="preserve">https://www.environdec.com/library/epd1805
</text>
    <extLst>
      <x:ext xmlns:xltc2="http://schemas.microsoft.com/office/spreadsheetml/2020/threadedcomments2" uri="{F7C98A9C-CBB3-438F-8F68-D28B6AF4A901}">
        <xltc2:checksum>3640811367</xltc2:checksum>
        <xltc2:hyperlink startIndex="0" length="42" url="https://www.environdec.com/library/epd1805"/>
      </x:ext>
    </extLst>
  </threadedComment>
  <threadedComment ref="C10" dT="2024-08-13T10:23:51.09" personId="{68FE641C-13D6-414F-A435-AD08A2569DF6}" id="{040C3926-4093-41C5-ADC8-DD8D9A7683B0}">
    <text>https://www.environdec.com/library/epd3244</text>
    <extLst>
      <x:ext xmlns:xltc2="http://schemas.microsoft.com/office/spreadsheetml/2020/threadedcomments2" uri="{F7C98A9C-CBB3-438F-8F68-D28B6AF4A901}">
        <xltc2:checksum>2859673582</xltc2:checksum>
        <xltc2:hyperlink startIndex="0" length="42" url="https://www.environdec.com/library/epd3244"/>
      </x:ext>
    </extLst>
  </threadedComment>
  <threadedComment ref="C11" dT="2025-03-18T06:30:55.46" personId="{68FE641C-13D6-414F-A435-AD08A2569DF6}" id="{418C7BBC-E510-49BD-A183-F3BE2B643C51}">
    <text>https://www.environdec.com/library/epd3244</text>
    <extLst>
      <x:ext xmlns:xltc2="http://schemas.microsoft.com/office/spreadsheetml/2020/threadedcomments2" uri="{F7C98A9C-CBB3-438F-8F68-D28B6AF4A901}">
        <xltc2:checksum>2859673582</xltc2:checksum>
        <xltc2:hyperlink startIndex="0" length="42" url="https://www.environdec.com/library/epd3244"/>
      </x:ext>
    </extLst>
  </threadedComment>
  <threadedComment ref="D15" dT="2025-03-18T13:37:58.00" personId="{68FE641C-13D6-414F-A435-AD08A2569DF6}" id="{48B8A116-2358-484F-9E14-34424796B3FA}">
    <text>https://datasheet.prysmian.com/pdf/datasheet/fi-FI/329126/FI00_ACSR</text>
    <extLst>
      <x:ext xmlns:xltc2="http://schemas.microsoft.com/office/spreadsheetml/2020/threadedcomments2" uri="{F7C98A9C-CBB3-438F-8F68-D28B6AF4A901}">
        <xltc2:checksum>3854953088</xltc2:checksum>
        <xltc2:hyperlink startIndex="0" length="67" url="https://datasheet.prysmian.com/pdf/datasheet/fi-FI/329126/FI00_ACSR"/>
      </x:ext>
    </extLst>
  </threadedComment>
  <threadedComment ref="C28" dT="2025-02-27T09:41:04.98" personId="{68FE641C-13D6-414F-A435-AD08A2569DF6}" id="{FD189176-19DF-4806-8876-57134FFCE0C2}">
    <text>Sivu 20
https://trepo.tuni.fi/bitstream/handle/10024/149847/HatakkaKristian.pdf?sequence=2&amp;isAllowed=y</text>
    <extLst>
      <x:ext xmlns:xltc2="http://schemas.microsoft.com/office/spreadsheetml/2020/threadedcomments2" uri="{F7C98A9C-CBB3-438F-8F68-D28B6AF4A901}">
        <xltc2:checksum>332329128</xltc2:checksum>
        <xltc2:hyperlink startIndex="9" length="94" url="https://trepo.tuni.fi/bitstream/handle/10024/149847/HatakkaKristian.pdf?sequence=2&amp;isAllowed=y"/>
      </x:ext>
    </extLst>
  </threadedComment>
  <threadedComment ref="C32" dT="2025-02-27T09:47:19.48" personId="{68FE641C-13D6-414F-A435-AD08A2569DF6}" id="{7EA3D575-114F-4F68-B647-A143637CE2B0}">
    <text>https://omainfra.fi/media/doin1xg3/2-koskenranta.pdf</text>
    <extLst>
      <x:ext xmlns:xltc2="http://schemas.microsoft.com/office/spreadsheetml/2020/threadedcomments2" uri="{F7C98A9C-CBB3-438F-8F68-D28B6AF4A901}">
        <xltc2:checksum>253851586</xltc2:checksum>
        <xltc2:hyperlink startIndex="0" length="52" url="https://omainfra.fi/media/doin1xg3/2-koskenranta.pdf"/>
      </x:ext>
    </extLst>
  </threadedComment>
  <threadedComment ref="D41" dT="2025-02-27T10:28:44.69" personId="{68FE641C-13D6-414F-A435-AD08A2569DF6}" id="{8F2C1796-AC54-4C0C-A50D-37F96B74EAC1}">
    <text>Sivu 46 ja 65
https://ava.vaylapilvi.fi/ava/Julkaisut/Vaylavirasto/Opas_2022-3_paallystettyjen_teiden_korjaus.pdf
Toinen lähde
https://asfalttitieto.fi/tietoa-asfaltista/asfaltin-paino/</text>
    <extLst>
      <x:ext xmlns:xltc2="http://schemas.microsoft.com/office/spreadsheetml/2020/threadedcomments2" uri="{F7C98A9C-CBB3-438F-8F68-D28B6AF4A901}">
        <xltc2:checksum>4139543467</xltc2:checksum>
        <xltc2:hyperlink startIndex="14" length="99" url="https://ava.vaylapilvi.fi/ava/Julkaisut/Vaylavirasto/Opas_2022-3_paallystettyjen_teiden_korjaus.pdf"/>
        <xltc2:hyperlink startIndex="129" length="58" url="https://asfalttitieto.fi/tietoa-asfaltista/asfaltin-paino/"/>
      </x:ext>
    </extLst>
  </threadedComment>
  <threadedComment ref="C57" dT="2024-03-20T12:43:03.67" personId="{68FE641C-13D6-414F-A435-AD08A2569DF6}" id="{8204CFDB-8F4D-42AF-87EE-238F423A11FB}">
    <text>https://www.epd-norge.no/getfile.php/1348746-1705320910/EPDer/Byggevarer/NEPD-5473-4764_NAL-----MV-indoor-air-switch-disconnector.pdf</text>
    <extLst>
      <x:ext xmlns:xltc2="http://schemas.microsoft.com/office/spreadsheetml/2020/threadedcomments2" uri="{F7C98A9C-CBB3-438F-8F68-D28B6AF4A901}">
        <xltc2:checksum>2606950089</xltc2:checksum>
        <xltc2:hyperlink startIndex="0" length="133" url="https://www.epd-norge.no/getfile.php/1348746-1705320910/EPDer/Byggevarer/NEPD-5473-4764_NAL-----MV-indoor-air-switch-disconnector.pdf"/>
      </x:ext>
    </extLst>
  </threadedComment>
  <threadedComment ref="C58" dT="2024-03-20T13:24:44.40" personId="{68FE641C-13D6-414F-A435-AD08A2569DF6}" id="{ACFA18FE-6EA4-45FA-A837-2ED0C5B62F5D}">
    <text>https://www.epd-norge.no/getfile.php/1330874-1678460277/EPDer/Byggevarer/NEPD-4223-3461_Medium-voltage-tripolar-circuit-breaker--VD4-R-240620-.pdf</text>
    <extLst>
      <x:ext xmlns:xltc2="http://schemas.microsoft.com/office/spreadsheetml/2020/threadedcomments2" uri="{F7C98A9C-CBB3-438F-8F68-D28B6AF4A901}">
        <xltc2:checksum>3165719946</xltc2:checksum>
        <xltc2:hyperlink startIndex="0" length="146" url="https://www.epd-norge.no/getfile.php/1330874-1678460277/EPDer/Byggevarer/NEPD-4223-3461_Medium-voltage-tripolar-circuit-breaker--VD4-R-240620-.pdf"/>
      </x:ext>
    </extLst>
  </threadedComment>
  <threadedComment ref="C59" dT="2024-03-20T14:05:22.33" personId="{68FE641C-13D6-414F-A435-AD08A2569DF6}" id="{018A9171-73DB-4169-B52F-0DC06DA54AEE}">
    <text>https://www.epd-norge.no/epder/bygg/elektroniske-og-elektriske-komponenter-kabler-produkter/medium-voltage-tripolar-circuit-breaker-vd4-p-24-06-25-vd4</text>
    <extLst>
      <x:ext xmlns:xltc2="http://schemas.microsoft.com/office/spreadsheetml/2020/threadedcomments2" uri="{F7C98A9C-CBB3-438F-8F68-D28B6AF4A901}">
        <xltc2:checksum>33624705</xltc2:checksum>
        <xltc2:hyperlink startIndex="0" length="150" url="https://www.epd-norge.no/epder/bygg/elektroniske-og-elektriske-komponenter-kabler-produkter/medium-voltage-tripolar-circuit-breaker-vd4-p-24-06-25-vd4"/>
      </x:ext>
    </extLst>
  </threadedComment>
  <threadedComment ref="H68" dT="2024-10-30T13:22:53.93" personId="{68FE641C-13D6-414F-A435-AD08A2569DF6}" id="{5AF9B7BA-2E68-4B65-8B71-841BCF2E3CA5}">
    <text>Ei sisällä harusköyden päätettä, harusmerkkisarjaa</text>
  </threadedComment>
  <threadedComment ref="I71" dT="2024-06-18T10:34:11.53" personId="{68FE641C-13D6-414F-A435-AD08A2569DF6}" id="{7D644929-182D-4272-8705-2D17683CB0F5}">
    <text xml:space="preserve">Teräsköysi 25 mm2 (harusköysi) 
Metriä kohden
Sivu 30
https://co2data.fi/infra/reports/INFRA%20ter%C3%A4stuotteet%20R01.05.pdf
</text>
    <extLst>
      <x:ext xmlns:xltc2="http://schemas.microsoft.com/office/spreadsheetml/2020/threadedcomments2" uri="{F7C98A9C-CBB3-438F-8F68-D28B6AF4A901}">
        <xltc2:checksum>1321452953</xltc2:checksum>
        <xltc2:hyperlink startIndex="56" length="72" url="https://co2data.fi/infra/reports/INFRA%20ter%C3%A4stuotteet%20R01.05.pdf"/>
      </x:ext>
    </extLst>
  </threadedComment>
  <threadedComment ref="F72" dT="2024-07-04T11:09:55.50" personId="{68FE641C-13D6-414F-A435-AD08A2569DF6}" id="{C5CE0635-7930-4D2B-8EDA-DA079B76B7C4}">
    <text>https://www.ensto.com/fi/sahkoverkonrakennus/tuotteet/keskijanniteratkaisut-ja-verkostoautomaatio/ilmajohtotarvikkeet/pylvastarvikkeet/chk25.1/</text>
    <extLst>
      <x:ext xmlns:xltc2="http://schemas.microsoft.com/office/spreadsheetml/2020/threadedcomments2" uri="{F7C98A9C-CBB3-438F-8F68-D28B6AF4A901}">
        <xltc2:checksum>1971985810</xltc2:checksum>
        <xltc2:hyperlink startIndex="0" length="143" url="https://www.ensto.com/fi/sahkoverkonrakennus/tuotteet/keskijanniteratkaisut-ja-verkostoautomaatio/ilmajohtotarvikkeet/pylvastarvikkeet/chk25.1/"/>
      </x:ext>
    </extLst>
  </threadedComment>
  <threadedComment ref="H72" dT="2024-06-18T12:41:41.43" personId="{68FE641C-13D6-414F-A435-AD08A2569DF6}" id="{9775AB31-B120-42BF-A8F9-1AEF43191807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73" dT="2024-07-04T08:58:07.47" personId="{68FE641C-13D6-414F-A435-AD08A2569DF6}" id="{89292DF2-0288-47F6-96BE-F1EC2C7003A8}">
    <text>https://www.onninen.fi/onnline-haruslaatta-hl-43/p/AAK130?term=haruslaatta
Otin onniselta haruslaattojen painot, koska saman sarjan HL60 laatan paino oli STK:lla 86kg, jota en usko, että painaa niin paljoa. Ja STK:lla ei ollut HL43:sta painoa.
Onnisen tiedot vaikuttivat luotettavammilta.</text>
    <extLst>
      <x:ext xmlns:xltc2="http://schemas.microsoft.com/office/spreadsheetml/2020/threadedcomments2" uri="{F7C98A9C-CBB3-438F-8F68-D28B6AF4A901}">
        <xltc2:checksum>1482389189</xltc2:checksum>
        <xltc2:hyperlink startIndex="0" length="74" url="https://www.onninen.fi/onnline-haruslaatta-hl-43/p/AAK130?term=haruslaatta"/>
      </x:ext>
    </extLst>
  </threadedComment>
  <threadedComment ref="H73" dT="2024-07-05T07:36:40.29" personId="{68FE641C-13D6-414F-A435-AD08A2569DF6}" id="{FADE6840-CCB4-4DF2-B877-EC19E7DC2866}">
    <text xml:space="preserve">https://co2data.fi/infra/
betonikaivo, päällyskansi, umpikansi Ø = 600 mm, h = 40 mm 
0,15 kg CO2e / kg
Valitsen tämän arvon, koska sivulla
https://www.jakobetoni.fi/betonituotteet/haruslaatat
https://www.jakobetoni.fi/tiedostot/dop-jakobetoni.pdf
Ladattavan tiedoston mukaan saa käsityksen, että samaa betonilaatua käytetään haruslaatoissa, kuin betonisissa kaivonkansissa.
Ja SYKE:n tietokannasta löytyi tuo kaivonkannen päästötieto.
</text>
    <extLst>
      <x:ext xmlns:xltc2="http://schemas.microsoft.com/office/spreadsheetml/2020/threadedcomments2" uri="{F7C98A9C-CBB3-438F-8F68-D28B6AF4A901}">
        <xltc2:checksum>3461562118</xltc2:checksum>
        <xltc2:hyperlink startIndex="0" length="25" url="https://co2data.fi/infra/"/>
        <xltc2:hyperlink startIndex="144" length="52" url="https://www.jakobetoni.fi/betonituotteet/haruslaatat"/>
        <xltc2:hyperlink startIndex="198" length="54" url="https://www.jakobetoni.fi/tiedostot/dop-jakobetoni.pdf"/>
      </x:ext>
    </extLst>
  </threadedComment>
  <threadedComment ref="F74" dT="2024-07-05T07:07:54.86" personId="{68FE641C-13D6-414F-A435-AD08A2569DF6}" id="{305048E2-8DB2-4B86-AD5A-B318C2777F56}">
    <text>https://www.ensto.com/fi/sahkoverkonrakennus/tuotteet/pienjanniteratkaisut/ilmajohtotarvikkeet/pylvastarvikkeet/sh81/</text>
    <extLst>
      <x:ext xmlns:xltc2="http://schemas.microsoft.com/office/spreadsheetml/2020/threadedcomments2" uri="{F7C98A9C-CBB3-438F-8F68-D28B6AF4A901}">
        <xltc2:checksum>1511981017</xltc2:checksum>
        <xltc2:hyperlink startIndex="0" length="117" url="https://www.ensto.com/fi/sahkoverkonrakennus/tuotteet/pienjanniteratkaisut/ilmajohtotarvikkeet/pylvastarvikkeet/sh81/"/>
      </x:ext>
    </extLst>
  </threadedComment>
  <threadedComment ref="H74" dT="2024-06-18T12:41:41.43" personId="{68FE641C-13D6-414F-A435-AD08A2569DF6}" id="{E3840AD2-C1BE-4159-9988-772E1B7078A8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75" dT="2024-07-05T10:39:33.69" personId="{68FE641C-13D6-414F-A435-AD08A2569DF6}" id="{9949E409-5C4C-47F0-81E2-5A64750AC6E5}">
    <text>https://www.ensto.com/fi/sahkoverkonrakennus/tuotteet/pienjanniteratkaisut/ilmajohtotarvikkeet/pylvastarvikkeet/sh525.1/</text>
    <extLst>
      <x:ext xmlns:xltc2="http://schemas.microsoft.com/office/spreadsheetml/2020/threadedcomments2" uri="{F7C98A9C-CBB3-438F-8F68-D28B6AF4A901}">
        <xltc2:checksum>730515443</xltc2:checksum>
        <xltc2:hyperlink startIndex="0" length="120" url="https://www.ensto.com/fi/sahkoverkonrakennus/tuotteet/pienjanniteratkaisut/ilmajohtotarvikkeet/pylvastarvikkeet/sh525.1/"/>
      </x:ext>
    </extLst>
  </threadedComment>
  <threadedComment ref="H75" dT="2024-06-18T12:41:41.43" personId="{68FE641C-13D6-414F-A435-AD08A2569DF6}" id="{56B37FD6-7397-4426-B385-5FF7449EF99E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78" dT="2024-09-24T09:44:30.09" personId="{68FE641C-13D6-414F-A435-AD08A2569DF6}" id="{16D46025-D985-41D5-8AB0-05A6DA64CF4A}">
    <text xml:space="preserve">https://www.onninen.fi/prof-nelioaluslevy-prof-din436-m16-kuumasinkitty-25kpl/p/CMG978
</text>
    <extLst>
      <x:ext xmlns:xltc2="http://schemas.microsoft.com/office/spreadsheetml/2020/threadedcomments2" uri="{F7C98A9C-CBB3-438F-8F68-D28B6AF4A901}">
        <xltc2:checksum>896524215</xltc2:checksum>
        <xltc2:hyperlink startIndex="0" length="86" url="https://www.onninen.fi/prof-nelioaluslevy-prof-din436-m16-kuumasinkitty-25kpl/p/CMG978"/>
      </x:ext>
    </extLst>
  </threadedComment>
  <threadedComment ref="I78" dT="2024-06-18T12:41:41.43" personId="{68FE641C-13D6-414F-A435-AD08A2569DF6}" id="{13F4A770-81C7-41FA-AAE6-5890DCF515CA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I82" dT="2024-10-30T13:22:53.93" personId="{68FE641C-13D6-414F-A435-AD08A2569DF6}" id="{4687C68F-57DD-4BE8-BD61-74F9E0598D38}">
    <text>Ei sisällä harusköyden päätettä, harusmerkkisarjaa</text>
  </threadedComment>
  <threadedComment ref="I85" dT="2024-06-18T10:34:11.53" personId="{68FE641C-13D6-414F-A435-AD08A2569DF6}" id="{9AB5D296-7348-4AE8-B405-BB9FA6D8EA8E}">
    <text xml:space="preserve">Teräsköysi 25 mm2 (harusköysi) 
Metriä kohden
Sivu 30
https://co2data.fi/infra/reports/INFRA%20ter%C3%A4stuotteet%20R01.05.pdf
</text>
    <extLst>
      <x:ext xmlns:xltc2="http://schemas.microsoft.com/office/spreadsheetml/2020/threadedcomments2" uri="{F7C98A9C-CBB3-438F-8F68-D28B6AF4A901}">
        <xltc2:checksum>1321452953</xltc2:checksum>
        <xltc2:hyperlink startIndex="56" length="72" url="https://co2data.fi/infra/reports/INFRA%20ter%C3%A4stuotteet%20R01.05.pdf"/>
      </x:ext>
    </extLst>
  </threadedComment>
  <threadedComment ref="F86" dT="2024-07-04T11:09:55.50" personId="{68FE641C-13D6-414F-A435-AD08A2569DF6}" id="{DC397E1E-3480-48BB-967E-8071E0453F56}">
    <text>https://www.ensto.com/fi/sahkoverkonrakennus/tuotteet/keskijanniteratkaisut-ja-verkostoautomaatio/ilmajohtotarvikkeet/pylvastarvikkeet/chk25.1/</text>
    <extLst>
      <x:ext xmlns:xltc2="http://schemas.microsoft.com/office/spreadsheetml/2020/threadedcomments2" uri="{F7C98A9C-CBB3-438F-8F68-D28B6AF4A901}">
        <xltc2:checksum>1971985810</xltc2:checksum>
        <xltc2:hyperlink startIndex="0" length="143" url="https://www.ensto.com/fi/sahkoverkonrakennus/tuotteet/keskijanniteratkaisut-ja-verkostoautomaatio/ilmajohtotarvikkeet/pylvastarvikkeet/chk25.1/"/>
      </x:ext>
    </extLst>
  </threadedComment>
  <threadedComment ref="H86" dT="2024-06-18T12:41:41.43" personId="{68FE641C-13D6-414F-A435-AD08A2569DF6}" id="{A7793467-56B1-4F5F-A431-93FE10C00DBC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87" dT="2024-07-04T08:58:07.47" personId="{68FE641C-13D6-414F-A435-AD08A2569DF6}" id="{5165938D-6526-4DF1-9429-4B1EE00457CA}">
    <text>https://www.onninen.fi/onnline-haruslaatta-hl-43/p/AAK130?term=haruslaatta
Otin onniselta haruslaattojen painot, koska saman sarjan HL60 laatan paino oli STK:lla 86kg, jota en usko, että painaa niin paljoa. Ja STK:lla ei ollut HL43:sta painoa.
Onnisen tiedot vaikuttivat luotettavammilta.</text>
    <extLst>
      <x:ext xmlns:xltc2="http://schemas.microsoft.com/office/spreadsheetml/2020/threadedcomments2" uri="{F7C98A9C-CBB3-438F-8F68-D28B6AF4A901}">
        <xltc2:checksum>1482389189</xltc2:checksum>
        <xltc2:hyperlink startIndex="0" length="74" url="https://www.onninen.fi/onnline-haruslaatta-hl-43/p/AAK130?term=haruslaatta"/>
      </x:ext>
    </extLst>
  </threadedComment>
  <threadedComment ref="H87" dT="2024-07-05T07:36:40.29" personId="{68FE641C-13D6-414F-A435-AD08A2569DF6}" id="{D9C6F76E-5BB7-4CC0-A136-945373C21DAA}">
    <text xml:space="preserve">https://co2data.fi/infra/
betonikaivo, päällyskansi, umpikansi Ø = 600 mm, h = 40 mm 
0,15 kg CO2e / kg
Valitsen tämän arvon, koska sivulla
https://www.jakobetoni.fi/betonituotteet/haruslaatat
https://www.jakobetoni.fi/tiedostot/dop-jakobetoni.pdf
Ladattavan tiedoston mukaan saa käsityksen, että samaa betonilaatua käytetään haruslaatoissa, kuin betonisissa kaivonkansissa.
Ja SYKE:n tietokannasta löytyi tuo kaivonkannen päästötieto.
</text>
    <extLst>
      <x:ext xmlns:xltc2="http://schemas.microsoft.com/office/spreadsheetml/2020/threadedcomments2" uri="{F7C98A9C-CBB3-438F-8F68-D28B6AF4A901}">
        <xltc2:checksum>3461562118</xltc2:checksum>
        <xltc2:hyperlink startIndex="0" length="25" url="https://co2data.fi/infra/"/>
        <xltc2:hyperlink startIndex="144" length="52" url="https://www.jakobetoni.fi/betonituotteet/haruslaatat"/>
        <xltc2:hyperlink startIndex="198" length="54" url="https://www.jakobetoni.fi/tiedostot/dop-jakobetoni.pdf"/>
      </x:ext>
    </extLst>
  </threadedComment>
  <threadedComment ref="F88" dT="2024-07-22T11:29:08.55" personId="{68FE641C-13D6-414F-A435-AD08A2569DF6}" id="{608E9A5A-AFA9-4B2C-9A8A-368A8580BE57}">
    <text>https://www.sahkonumerot.fi/5010526</text>
    <extLst>
      <x:ext xmlns:xltc2="http://schemas.microsoft.com/office/spreadsheetml/2020/threadedcomments2" uri="{F7C98A9C-CBB3-438F-8F68-D28B6AF4A901}">
        <xltc2:checksum>47425966</xltc2:checksum>
        <xltc2:hyperlink startIndex="0" length="35" url="https://www.sahkonumerot.fi/5010526"/>
      </x:ext>
    </extLst>
  </threadedComment>
  <threadedComment ref="H88" dT="2024-06-24T08:08:40.27" personId="{68FE641C-13D6-414F-A435-AD08A2569DF6}" id="{FE3A84BF-3577-42D2-B377-87DAC6F933D4}">
    <text>Posliinin valmistuksen päästötieto.
https://www.climatiq.io/data/emission-factor/9f2508be-4752-42be-84cc-09406ec2057e</text>
    <extLst>
      <x:ext xmlns:xltc2="http://schemas.microsoft.com/office/spreadsheetml/2020/threadedcomments2" uri="{F7C98A9C-CBB3-438F-8F68-D28B6AF4A901}">
        <xltc2:checksum>1815499296</xltc2:checksum>
        <xltc2:hyperlink startIndex="38" length="81" url="https://www.climatiq.io/data/emission-factor/9f2508be-4752-42be-84cc-09406ec2057e"/>
      </x:ext>
    </extLst>
  </threadedComment>
  <threadedComment ref="F89" dT="2024-07-05T07:07:54.86" personId="{68FE641C-13D6-414F-A435-AD08A2569DF6}" id="{56B6ADF9-AC9F-42FB-8BDA-11669DAF8A52}">
    <text>https://www.ensto.com/fi/sahkoverkonrakennus/tuotteet/pienjanniteratkaisut/ilmajohtotarvikkeet/pylvastarvikkeet/sh81/</text>
    <extLst>
      <x:ext xmlns:xltc2="http://schemas.microsoft.com/office/spreadsheetml/2020/threadedcomments2" uri="{F7C98A9C-CBB3-438F-8F68-D28B6AF4A901}">
        <xltc2:checksum>1511981017</xltc2:checksum>
        <xltc2:hyperlink startIndex="0" length="117" url="https://www.ensto.com/fi/sahkoverkonrakennus/tuotteet/pienjanniteratkaisut/ilmajohtotarvikkeet/pylvastarvikkeet/sh81/"/>
      </x:ext>
    </extLst>
  </threadedComment>
  <threadedComment ref="H89" dT="2024-06-18T12:41:41.43" personId="{68FE641C-13D6-414F-A435-AD08A2569DF6}" id="{4471527E-4497-4B2F-B929-841B81F87BB4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90" dT="2024-07-22T12:24:51.41" personId="{68FE641C-13D6-414F-A435-AD08A2569DF6}" id="{98F53FEC-5364-44F9-AD40-8DFEA24D1C6C}">
    <text>https://www.sahkonumerot.fi/5021339</text>
    <extLst>
      <x:ext xmlns:xltc2="http://schemas.microsoft.com/office/spreadsheetml/2020/threadedcomments2" uri="{F7C98A9C-CBB3-438F-8F68-D28B6AF4A901}">
        <xltc2:checksum>2192387794</xltc2:checksum>
        <xltc2:hyperlink startIndex="0" length="35" url="https://www.sahkonumerot.fi/5021339"/>
      </x:ext>
    </extLst>
  </threadedComment>
  <threadedComment ref="H90" dT="2024-06-18T12:41:41.43" personId="{68FE641C-13D6-414F-A435-AD08A2569DF6}" id="{377F37D5-872B-45DF-B247-6AC3BAA01BC7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93" dT="2024-09-24T09:44:30.09" personId="{68FE641C-13D6-414F-A435-AD08A2569DF6}" id="{07D0B9EC-389D-4AA6-B3EF-072095ABC62C}">
    <text xml:space="preserve">https://www.onninen.fi/prof-nelioaluslevy-prof-din436-m16-kuumasinkitty-25kpl/p/CMG978
</text>
    <extLst>
      <x:ext xmlns:xltc2="http://schemas.microsoft.com/office/spreadsheetml/2020/threadedcomments2" uri="{F7C98A9C-CBB3-438F-8F68-D28B6AF4A901}">
        <xltc2:checksum>896524215</xltc2:checksum>
        <xltc2:hyperlink startIndex="0" length="86" url="https://www.onninen.fi/prof-nelioaluslevy-prof-din436-m16-kuumasinkitty-25kpl/p/CMG978"/>
      </x:ext>
    </extLst>
  </threadedComment>
  <threadedComment ref="I93" dT="2024-06-18T12:41:41.43" personId="{68FE641C-13D6-414F-A435-AD08A2569DF6}" id="{A49F9E00-C44E-4322-A036-E73F9BAEF848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D99" dT="2024-02-27T13:50:31.45" personId="{68FE641C-13D6-414F-A435-AD08A2569DF6}" id="{9FF99B64-26BB-42FA-82B1-975E5464F48F}">
    <text>https://search.abb.com/library/Download.aspx?DocumentID=MJS_ZLBM1FI%2017-10&amp;LanguageCode=fi&amp;DocumentPartId=&amp;Action=Launch</text>
    <extLst>
      <x:ext xmlns:xltc2="http://schemas.microsoft.com/office/spreadsheetml/2020/threadedcomments2" uri="{F7C98A9C-CBB3-438F-8F68-D28B6AF4A901}">
        <xltc2:checksum>913640167</xltc2:checksum>
        <xltc2:hyperlink startIndex="0" length="121" url="https://search.abb.com/library/Download.aspx?DocumentID=MJS_ZLBM1FI%2017-10&amp;LanguageCode=fi&amp;DocumentPartId=&amp;Action=Launch"/>
      </x:ext>
    </extLst>
  </threadedComment>
  <threadedComment ref="C100" dT="2024-02-27T12:36:24.60" personId="{68FE641C-13D6-414F-A435-AD08A2569DF6}" id="{AB108952-D1AB-4B85-AB30-A5582A14C64E}">
    <text>A sarakkeessa HeadPower:n rakennekuvista tuotenimikkeet.
Lähimmät vastaavat tuotteet linkinstä
(ABB MJS-kaapelijakokaapit tuoteluettelo 2019)
https://search.abb.com/library/Download.aspx?DocumentID=MJS_ZLBM1FI%2017-10&amp;LanguageCode=fi&amp;DocumentPartId=&amp;Action=Launch
RAJAUS:
Varustetun kaapin lisävarusteet on rajattu saman materiaalin sisään. Sisältöä ei ole erikseen yksilöity. Materiaalin kuumasinkitty teräslevy. Kerroinsolun kommenteissa lisätietoa.</text>
    <extLst>
      <x:ext xmlns:xltc2="http://schemas.microsoft.com/office/spreadsheetml/2020/threadedcomments2" uri="{F7C98A9C-CBB3-438F-8F68-D28B6AF4A901}">
        <xltc2:checksum>494454333</xltc2:checksum>
        <xltc2:hyperlink startIndex="143" length="121" url="https://search.abb.com/library/Download.aspx?DocumentID=MJS_ZLBM1FI%2017-10&amp;LanguageCode=fi&amp;DocumentPartId=&amp;Action=Launch"/>
      </x:ext>
    </extLst>
  </threadedComment>
  <threadedComment ref="F100" dT="2024-02-27T12:05:45.76" personId="{68FE641C-13D6-414F-A435-AD08A2569DF6}" id="{60474D48-15B7-4479-8E2A-FF1D11EFA9EF}">
    <text xml:space="preserve">MJS kaappi, kuumasinkitty teräs, pulverimaalattu JALUSTAN paino sisältyy sarakkeen lukuun
Valmistajan tiedoissa korkeudesta riippumatta (1200 tai 850) paino ilmoitetaan samaksi. En ota kantaa onko lukemissa virhe valmistajan toimesta.
https://search.abb.com/library/Download.aspx?DocumentID=MJS_ZLBM1FI%2017-10&amp;LanguageCode=fi&amp;DocumentPartId=&amp;Action=Launch
</text>
    <extLst>
      <x:ext xmlns:xltc2="http://schemas.microsoft.com/office/spreadsheetml/2020/threadedcomments2" uri="{F7C98A9C-CBB3-438F-8F68-D28B6AF4A901}">
        <xltc2:checksum>2229182929</xltc2:checksum>
        <xltc2:hyperlink startIndex="237" length="121" url="https://search.abb.com/library/Download.aspx?DocumentID=MJS_ZLBM1FI%2017-10&amp;LanguageCode=fi&amp;DocumentPartId=&amp;Action=Launch"/>
      </x:ext>
    </extLst>
  </threadedComment>
  <threadedComment ref="G100" dT="2024-02-27T12:05:40.12" personId="{68FE641C-13D6-414F-A435-AD08A2569DF6}" id="{8E7F4411-9ECF-46C1-B8C7-97B283F72A64}">
    <text>MJS kaappi, kuumasinkitty teräs, pulverimaalattu.
Varustettu kokoojakiskoilla ja sektoriavainlukolla
JALUSTAN paino sisältyy sarakkeen lukuun
https://search.abb.com/library/Download.aspx?DocumentID=MJS_ZLBM1FI%2017-10&amp;LanguageCode=fi&amp;DocumentPartId=&amp;Action=Launch</text>
    <extLst>
      <x:ext xmlns:xltc2="http://schemas.microsoft.com/office/spreadsheetml/2020/threadedcomments2" uri="{F7C98A9C-CBB3-438F-8F68-D28B6AF4A901}">
        <xltc2:checksum>378886158</xltc2:checksum>
        <xltc2:hyperlink startIndex="144" length="121" url="https://search.abb.com/library/Download.aspx?DocumentID=MJS_ZLBM1FI%2017-10&amp;LanguageCode=fi&amp;DocumentPartId=&amp;Action=Launch"/>
      </x:ext>
    </extLst>
  </threadedComment>
  <threadedComment ref="H100" dT="2024-02-27T12:06:57.22" personId="{68FE641C-13D6-414F-A435-AD08A2569DF6}" id="{D3C99791-4533-4E4C-A811-34F1875C9EDD}">
    <text xml:space="preserve">MJS jalusta, kuumasinkitty teräs, pulverimaalattu
https://search.abb.com/library/Download.aspx?DocumentID=MJS_ZLBM1FI%2017-10&amp;LanguageCode=fi&amp;DocumentPartId=&amp;Action=Launch
</text>
    <extLst>
      <x:ext xmlns:xltc2="http://schemas.microsoft.com/office/spreadsheetml/2020/threadedcomments2" uri="{F7C98A9C-CBB3-438F-8F68-D28B6AF4A901}">
        <xltc2:checksum>1260420225</xltc2:checksum>
        <xltc2:hyperlink startIndex="51" length="121" url="https://search.abb.com/library/Download.aspx?DocumentID=MJS_ZLBM1FI%2017-10&amp;LanguageCode=fi&amp;DocumentPartId=&amp;Action=Launch"/>
      </x:ext>
    </extLst>
  </threadedComment>
  <threadedComment ref="I100" dT="2024-02-27T12:30:08.26" personId="{68FE641C-13D6-414F-A435-AD08A2569DF6}" id="{99316321-926B-4F51-8634-615060264618}">
    <text>Teräslevy katteisiin ja seiniin, kuumasinkitty, maalattu tai maalaamaton tai COR-TEN pinnalle 
Tyypllinen arvo (A1-A3)
2.6 kg CO2e /kg
https://co2data.fi/infra/</text>
    <extLst>
      <x:ext xmlns:xltc2="http://schemas.microsoft.com/office/spreadsheetml/2020/threadedcomments2" uri="{F7C98A9C-CBB3-438F-8F68-D28B6AF4A901}">
        <xltc2:checksum>4291251107</xltc2:checksum>
        <xltc2:hyperlink startIndex="137" length="25" url="https://co2data.fi/infra/"/>
      </x:ext>
    </extLst>
  </threadedComment>
  <threadedComment ref="J100" dT="2024-02-27T13:02:25.31" personId="{68FE641C-13D6-414F-A435-AD08A2569DF6}" id="{C0DFEAA8-405D-48B0-AA8B-26CCB530C9F1}">
    <text>JALUSTALLA</text>
  </threadedComment>
  <threadedComment ref="K100" dT="2024-02-27T13:02:48.31" personId="{68FE641C-13D6-414F-A435-AD08A2569DF6}" id="{8CF4DC0E-090A-4D41-BBCF-3F25E980C745}">
    <text>JALUSTALLA</text>
  </threadedComment>
  <threadedComment ref="D112" dT="2024-11-26T09:29:26.72" personId="{68FE641C-13D6-414F-A435-AD08A2569DF6}" id="{31DF9DEA-F925-4BBC-9C7F-48A0276C7F18}">
    <text>Kabeldon
https://www.sahkonumerot.fi/5451202</text>
    <extLst>
      <x:ext xmlns:xltc2="http://schemas.microsoft.com/office/spreadsheetml/2020/threadedcomments2" uri="{F7C98A9C-CBB3-438F-8F68-D28B6AF4A901}">
        <xltc2:checksum>3561041570</xltc2:checksum>
        <xltc2:hyperlink startIndex="9" length="35" url="https://www.sahkonumerot.fi/5451202"/>
      </x:ext>
    </extLst>
  </threadedComment>
  <threadedComment ref="D114" dT="2024-02-27T13:50:41.73" personId="{68FE641C-13D6-414F-A435-AD08A2569DF6}" id="{431B7405-0BE7-426F-9E7D-D96647B6318C}">
    <text>https://slofiles.blob.core.windows.net/pimfiles1/PDF/catalogue_9754400.pdf</text>
    <extLst>
      <x:ext xmlns:xltc2="http://schemas.microsoft.com/office/spreadsheetml/2020/threadedcomments2" uri="{F7C98A9C-CBB3-438F-8F68-D28B6AF4A901}">
        <xltc2:checksum>3667265750</xltc2:checksum>
        <xltc2:hyperlink startIndex="0" length="74" url="https://slofiles.blob.core.windows.net/pimfiles1/PDF/catalogue_9754400.pdf"/>
      </x:ext>
    </extLst>
  </threadedComment>
  <threadedComment ref="C115" dT="2024-02-27T13:55:39.63" personId="{68FE641C-13D6-414F-A435-AD08A2569DF6}" id="{FD939A2E-D45A-44EF-AB7F-9BF0DB064FE9}">
    <text>A sarakkeessa HeadPowerin rakennekuvista nimikkeet.
Lähimmät vastaavat tuotteet Steralta</text>
  </threadedComment>
  <threadedComment ref="F115" dT="2024-02-27T13:04:33.46" personId="{68FE641C-13D6-414F-A435-AD08A2569DF6}" id="{5E697B0B-1DEA-418F-8891-D38F5A4DE3DD}">
    <text>Alumiinia
https://slofiles.blob.core.windows.net/pimfiles1/PDF/catalogue_9754400.pdf</text>
    <extLst>
      <x:ext xmlns:xltc2="http://schemas.microsoft.com/office/spreadsheetml/2020/threadedcomments2" uri="{F7C98A9C-CBB3-438F-8F68-D28B6AF4A901}">
        <xltc2:checksum>4131889049</xltc2:checksum>
        <xltc2:hyperlink startIndex="11" length="74" url="https://slofiles.blob.core.windows.net/pimfiles1/PDF/catalogue_9754400.pdf"/>
      </x:ext>
    </extLst>
  </threadedComment>
  <threadedComment ref="G115" dT="2024-02-27T13:04:51.34" personId="{68FE641C-13D6-414F-A435-AD08A2569DF6}" id="{BB2B5D79-8DB1-4BA5-93AB-8B546CCE3F94}">
    <text>Kuumasinkitty teräs
https://slofiles.blob.core.windows.net/pimfiles1/PDF/catalogue_9754400.pdf</text>
    <extLst>
      <x:ext xmlns:xltc2="http://schemas.microsoft.com/office/spreadsheetml/2020/threadedcomments2" uri="{F7C98A9C-CBB3-438F-8F68-D28B6AF4A901}">
        <xltc2:checksum>688147429</xltc2:checksum>
        <xltc2:hyperlink startIndex="21" length="74" url="https://slofiles.blob.core.windows.net/pimfiles1/PDF/catalogue_9754400.pdf"/>
      </x:ext>
    </extLst>
  </threadedComment>
  <threadedComment ref="H115" dT="2024-02-27T13:25:19.60" personId="{68FE641C-13D6-414F-A435-AD08A2569DF6}" id="{1B1C2D54-AF97-46C1-9DCE-6B63CA80BDD3}">
    <text xml:space="preserve">https://co2data.fi/infra/ 
kerroin 2.6 kg CO2e /kg perustuu oletukseen , että alumiinista 75% on kierrätettyä
https://www.gov.uk/government/publications/greenhouse-gas-reporting-conversion-factors-2023
Kerroin:
Neitseellinen 9,108 kg CO2e /kg
kierrätetty  0,99 kg CO2e /kg
Käytän kerrointa 9,108 kg CO2e /kg, koska yhtiö ei kerro verkkosivuillaan onko käytetty alumiini kierrätettyä. </text>
    <extLst>
      <x:ext xmlns:xltc2="http://schemas.microsoft.com/office/spreadsheetml/2020/threadedcomments2" uri="{F7C98A9C-CBB3-438F-8F68-D28B6AF4A901}">
        <xltc2:checksum>3312880078</xltc2:checksum>
        <xltc2:hyperlink startIndex="0" length="25" url="https://co2data.fi/infra/"/>
        <xltc2:hyperlink startIndex="111" length="91" url="https://www.gov.uk/government/publications/greenhouse-gas-reporting-conversion-factors-2023"/>
      </x:ext>
    </extLst>
  </threadedComment>
  <threadedComment ref="I115" dT="2024-02-27T13:00:19.95" personId="{68FE641C-13D6-414F-A435-AD08A2569DF6}" id="{BFFDE114-8C21-4482-8839-BCB70406859B}">
    <text xml:space="preserve">Teräslevy katteisiin ja seiniin, kuumasinkitty, maalattu tai maalaamaton tai COR-TEN pinnalle 
Tyypllinen arvo (A1-A3)
2.6 kg CO2e /kg
https://co2data.fi/infra/
</text>
    <extLst>
      <x:ext xmlns:xltc2="http://schemas.microsoft.com/office/spreadsheetml/2020/threadedcomments2" uri="{F7C98A9C-CBB3-438F-8F68-D28B6AF4A901}">
        <xltc2:checksum>1271020557</xltc2:checksum>
        <xltc2:hyperlink startIndex="137" length="25" url="https://co2data.fi/infra/"/>
      </x:ext>
    </extLst>
  </threadedComment>
  <threadedComment ref="J115" dT="2024-02-27T13:02:55.07" personId="{68FE641C-13D6-414F-A435-AD08A2569DF6}" id="{3FF5A7A3-95A8-4429-A617-D278F108C79C}">
    <text>Alumiinin kerroin 2,6  kg CO₂e
https://co2data.fi/infra/ 
JALUSTALLA</text>
    <extLst>
      <x:ext xmlns:xltc2="http://schemas.microsoft.com/office/spreadsheetml/2020/threadedcomments2" uri="{F7C98A9C-CBB3-438F-8F68-D28B6AF4A901}">
        <xltc2:checksum>2414194182</xltc2:checksum>
        <xltc2:hyperlink startIndex="31" length="25" url="https://co2data.fi/infra/"/>
      </x:ext>
    </extLst>
  </threadedComment>
  <threadedComment ref="K115" dT="2024-02-27T13:02:55.07" personId="{68FE641C-13D6-414F-A435-AD08A2569DF6}" id="{12F8A924-44BF-4D21-8FE5-328EBDD19C18}">
    <text>Alumiinin kerroin 9,108
JALUSTALLA</text>
  </threadedComment>
  <threadedComment ref="D128" dT="2024-02-27T13:50:55.89" personId="{68FE641C-13D6-414F-A435-AD08A2569DF6}" id="{9B995C6B-D79C-463F-8F30-67AC73852657}">
    <text>https://www.finnelectric.fi/wp-content/uploads/2021/03/Kaapelijakokaappi_KVS_FE-1.pdf</text>
    <extLst>
      <x:ext xmlns:xltc2="http://schemas.microsoft.com/office/spreadsheetml/2020/threadedcomments2" uri="{F7C98A9C-CBB3-438F-8F68-D28B6AF4A901}">
        <xltc2:checksum>2752293542</xltc2:checksum>
        <xltc2:hyperlink startIndex="0" length="85" url="https://www.finnelectric.fi/wp-content/uploads/2021/03/Kaapelijakokaappi_KVS_FE-1.pdf"/>
      </x:ext>
    </extLst>
  </threadedComment>
  <threadedComment ref="C129" dT="2024-02-27T13:57:01.82" personId="{68FE641C-13D6-414F-A435-AD08A2569DF6}" id="{2962A60E-43EE-42D1-BE5A-2248B8D0A3B6}">
    <text>A sarakkeessa HeadPowerin rakennekuvista nimikkeet.
Lähimmät vastaavat tuotteet Finn Electric:ltä</text>
  </threadedComment>
  <threadedComment ref="I129" dT="2024-02-28T06:39:34.40" personId="{68FE641C-13D6-414F-A435-AD08A2569DF6}" id="{E838A680-C977-4085-B838-D4AC73D779A1}">
    <text>https://www.gov.uk/government/publications/greenhouse-gas-reporting-conversion-factors-2023
PES muoville valitsen 
Plastics: average plastics - 3,102 kg CO₂e
Ja
Lasikuidulle 1,7-2,5 kg CO₂e
(valitsen keskiarvon = 2,1kg CO₂e)
https://renewable-carbon.eu/news/natural-fibres-show-outstandingly-low-co2-footprint-compared-to-glass-and-mineral-fibres/
(3,102 * 0,75 + 2,1 * 0,25) kg CO₂e = 2,8515 kg CO₂e</text>
    <extLst>
      <x:ext xmlns:xltc2="http://schemas.microsoft.com/office/spreadsheetml/2020/threadedcomments2" uri="{F7C98A9C-CBB3-438F-8F68-D28B6AF4A901}">
        <xltc2:checksum>3828106089</xltc2:checksum>
        <xltc2:hyperlink startIndex="0" length="91" url="https://www.gov.uk/government/publications/greenhouse-gas-reporting-conversion-factors-2023"/>
        <xltc2:hyperlink startIndex="226" length="122" url="https://renewable-carbon.eu/news/natural-fibres-show-outstandingly-low-co2-footprint-compared-to-glass-and-mineral-fibres/"/>
      </x:ext>
    </extLst>
  </threadedComment>
  <threadedComment ref="K129" dT="2024-02-28T07:25:06.38" personId="{68FE641C-13D6-414F-A435-AD08A2569DF6}" id="{943E425A-5A62-4096-85DA-E2D200A76C8A}">
    <text>JALUSTALLA</text>
  </threadedComment>
  <threadedComment ref="C140" dT="2024-11-26T10:50:55.83" personId="{68FE641C-13D6-414F-A435-AD08A2569DF6}" id="{DC39DB05-06E4-492C-9A92-781F0D617FDB}">
    <text>https://sahkonumerot.fi/5441057</text>
    <extLst>
      <x:ext xmlns:xltc2="http://schemas.microsoft.com/office/spreadsheetml/2020/threadedcomments2" uri="{F7C98A9C-CBB3-438F-8F68-D28B6AF4A901}">
        <xltc2:checksum>2094417112</xltc2:checksum>
        <xltc2:hyperlink startIndex="0" length="31" url="https://sahkonumerot.fi/5441057"/>
      </x:ext>
    </extLst>
  </threadedComment>
  <threadedComment ref="E147" dT="2024-07-01T08:15:01.12" personId="{68FE641C-13D6-414F-A435-AD08A2569DF6}" id="{E189AA7B-9109-484F-A9CD-D9020FE99E8F}">
    <text>https://www.sahkonumerot.fi/5043106</text>
    <extLst>
      <x:ext xmlns:xltc2="http://schemas.microsoft.com/office/spreadsheetml/2020/threadedcomments2" uri="{F7C98A9C-CBB3-438F-8F68-D28B6AF4A901}">
        <xltc2:checksum>786508165</xltc2:checksum>
        <xltc2:hyperlink startIndex="0" length="35" url="https://www.sahkonumerot.fi/5043106"/>
      </x:ext>
    </extLst>
  </threadedComment>
  <threadedComment ref="G147" dT="2024-06-18T12:41:41.43" personId="{68FE641C-13D6-414F-A435-AD08A2569DF6}" id="{5452D42F-4F56-4203-A158-C721F5B25D15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H148" dT="2024-07-01T11:20:16.50" personId="{68FE641C-13D6-414F-A435-AD08A2569DF6}" id="{CA21D2D0-AD4B-4979-B0EA-E1DE95BEC236}">
    <text>https://www.epditaly.it/wp-content/uploads/2016/12/EPD_XIANGHE_Anthesis_Lavola_.REV_03.01.2022_v2.pdf</text>
    <extLst>
      <x:ext xmlns:xltc2="http://schemas.microsoft.com/office/spreadsheetml/2020/threadedcomments2" uri="{F7C98A9C-CBB3-438F-8F68-D28B6AF4A901}">
        <xltc2:checksum>2216404401</xltc2:checksum>
        <xltc2:hyperlink startIndex="0" length="101" url="https://www.epditaly.it/wp-content/uploads/2016/12/EPD_XIANGHE_Anthesis_Lavola_.REV_03.01.2022_v2.pdf"/>
      </x:ext>
    </extLst>
  </threadedComment>
  <threadedComment ref="E149" dT="2024-07-02T06:22:18.85" personId="{68FE641C-13D6-414F-A435-AD08A2569DF6}" id="{FDAD8772-6902-4EAB-AE03-97D24C47FC78}">
    <text>https://www.sahkonumerot.fi/5020360</text>
    <extLst>
      <x:ext xmlns:xltc2="http://schemas.microsoft.com/office/spreadsheetml/2020/threadedcomments2" uri="{F7C98A9C-CBB3-438F-8F68-D28B6AF4A901}">
        <xltc2:checksum>3299398128</xltc2:checksum>
        <xltc2:hyperlink startIndex="0" length="35" url="https://www.sahkonumerot.fi/5020360"/>
      </x:ext>
    </extLst>
  </threadedComment>
  <threadedComment ref="G149" dT="2024-06-18T12:41:41.43" personId="{68FE641C-13D6-414F-A435-AD08A2569DF6}" id="{ACF6BDFF-1151-42BD-8C26-03E96EF13F63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158" dT="2024-07-29T10:07:53.46" personId="{68FE641C-13D6-414F-A435-AD08A2569DF6}" id="{1E63356B-8BEC-40F5-AB64-789B242D9568}">
    <text>https://www.sahkonumerot.fi/5025108</text>
    <extLst>
      <x:ext xmlns:xltc2="http://schemas.microsoft.com/office/spreadsheetml/2020/threadedcomments2" uri="{F7C98A9C-CBB3-438F-8F68-D28B6AF4A901}">
        <xltc2:checksum>656772642</xltc2:checksum>
        <xltc2:hyperlink startIndex="0" length="35" url="https://www.sahkonumerot.fi/5025108"/>
      </x:ext>
    </extLst>
  </threadedComment>
  <threadedComment ref="G158" dT="2024-06-20T07:04:36.05" personId="{68FE641C-13D6-414F-A435-AD08A2569DF6}" id="{89CF4BB9-F34E-4891-A7C8-A9034DDCE493}">
    <text xml:space="preserve">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ext>
    <extLst>
      <x:ext xmlns:xltc2="http://schemas.microsoft.com/office/spreadsheetml/2020/threadedcomments2" uri="{F7C98A9C-CBB3-438F-8F68-D28B6AF4A901}">
        <xltc2:checksum>836706489</xltc2:checksum>
        <xltc2:hyperlink startIndex="0" length="25" url="https://co2data.fi/infra/"/>
        <xltc2:hyperlink startIndex="111" length="91" url="https://www.gov.uk/government/publications/greenhouse-gas-reporting-conversion-factors-2023"/>
      </x:ext>
    </extLst>
  </threadedComment>
  <threadedComment ref="F159" dT="2024-06-20T08:28:20.03" personId="{68FE641C-13D6-414F-A435-AD08A2569DF6}" id="{8276FD81-68A6-4931-A4F1-4DC9E3FE2BE1}">
    <text>https://www.sahkonumerot.fi/5024964</text>
    <extLst>
      <x:ext xmlns:xltc2="http://schemas.microsoft.com/office/spreadsheetml/2020/threadedcomments2" uri="{F7C98A9C-CBB3-438F-8F68-D28B6AF4A901}">
        <xltc2:checksum>2449525423</xltc2:checksum>
        <xltc2:hyperlink startIndex="0" length="35" url="https://www.sahkonumerot.fi/5024964"/>
      </x:ext>
    </extLst>
  </threadedComment>
  <threadedComment ref="G159" dT="2024-06-18T12:41:41.43" personId="{68FE641C-13D6-414F-A435-AD08A2569DF6}" id="{88F7B47D-1AE3-40B1-AA5F-355D74148FE5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168" dT="2024-07-01T08:15:01.12" personId="{68FE641C-13D6-414F-A435-AD08A2569DF6}" id="{4EDABB08-1F30-4CF2-8CF9-0846A8BF52D1}">
    <text>https://www.sahkonumerot.fi/5043106</text>
    <extLst>
      <x:ext xmlns:xltc2="http://schemas.microsoft.com/office/spreadsheetml/2020/threadedcomments2" uri="{F7C98A9C-CBB3-438F-8F68-D28B6AF4A901}">
        <xltc2:checksum>786508165</xltc2:checksum>
        <xltc2:hyperlink startIndex="0" length="35" url="https://www.sahkonumerot.fi/5043106"/>
      </x:ext>
    </extLst>
  </threadedComment>
  <threadedComment ref="G168" dT="2024-06-20T07:04:36.05" personId="{68FE641C-13D6-414F-A435-AD08A2569DF6}" id="{66400FAE-1493-4BD9-9B12-2F5CF3F57809}">
    <text xml:space="preserve">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ext>
    <extLst>
      <x:ext xmlns:xltc2="http://schemas.microsoft.com/office/spreadsheetml/2020/threadedcomments2" uri="{F7C98A9C-CBB3-438F-8F68-D28B6AF4A901}">
        <xltc2:checksum>836706489</xltc2:checksum>
        <xltc2:hyperlink startIndex="0" length="25" url="https://co2data.fi/infra/"/>
        <xltc2:hyperlink startIndex="111" length="91" url="https://www.gov.uk/government/publications/greenhouse-gas-reporting-conversion-factors-2023"/>
      </x:ext>
    </extLst>
  </threadedComment>
  <threadedComment ref="H169" dT="2024-07-01T11:20:16.50" personId="{68FE641C-13D6-414F-A435-AD08A2569DF6}" id="{A30BB7C0-988C-4068-A6EB-55844C549730}">
    <text>https://www.epditaly.it/wp-content/uploads/2016/12/EPD_XIANGHE_Anthesis_Lavola_.REV_03.01.2022_v2.pdf</text>
    <extLst>
      <x:ext xmlns:xltc2="http://schemas.microsoft.com/office/spreadsheetml/2020/threadedcomments2" uri="{F7C98A9C-CBB3-438F-8F68-D28B6AF4A901}">
        <xltc2:checksum>2216404401</xltc2:checksum>
        <xltc2:hyperlink startIndex="0" length="101" url="https://www.epditaly.it/wp-content/uploads/2016/12/EPD_XIANGHE_Anthesis_Lavola_.REV_03.01.2022_v2.pdf"/>
      </x:ext>
    </extLst>
  </threadedComment>
  <threadedComment ref="E170" dT="2024-06-28T11:37:21.22" personId="{68FE641C-13D6-414F-A435-AD08A2569DF6}" id="{D68A9801-E2A2-4DC3-BA26-5A4692373D44}">
    <text>https://www.ensto.com/fi/sahkoverkonrakennus/tuotteet/keskijanniteratkaisut-ja-verkostoautomaatio/ilmajohtotarvikkeet/orret/sh153.10/</text>
    <extLst>
      <x:ext xmlns:xltc2="http://schemas.microsoft.com/office/spreadsheetml/2020/threadedcomments2" uri="{F7C98A9C-CBB3-438F-8F68-D28B6AF4A901}">
        <xltc2:checksum>2989864585</xltc2:checksum>
        <xltc2:hyperlink startIndex="0" length="133" url="https://www.ensto.com/fi/sahkoverkonrakennus/tuotteet/keskijanniteratkaisut-ja-verkostoautomaatio/ilmajohtotarvikkeet/orret/sh153.10/"/>
      </x:ext>
    </extLst>
  </threadedComment>
  <threadedComment ref="G170" dT="2024-06-18T12:41:41.43" personId="{68FE641C-13D6-414F-A435-AD08A2569DF6}" id="{AFC7A7F1-D1BC-4351-AE3C-7158073E4BC1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178" dT="2024-06-28T09:25:41.74" personId="{68FE641C-13D6-414F-A435-AD08A2569DF6}" id="{C8A5D5A1-C11F-47BB-BF31-B43863E8B0B0}">
    <text>https://www.onninen.fi/ensto-tappieristin-sdi-37-24kv-vetoholkilla/p/AAK119</text>
    <extLst>
      <x:ext xmlns:xltc2="http://schemas.microsoft.com/office/spreadsheetml/2020/threadedcomments2" uri="{F7C98A9C-CBB3-438F-8F68-D28B6AF4A901}">
        <xltc2:checksum>2394639130</xltc2:checksum>
        <xltc2:hyperlink startIndex="0" length="75" url="https://www.onninen.fi/ensto-tappieristin-sdi-37-24kv-vetoholkilla/p/AAK119"/>
      </x:ext>
    </extLst>
  </threadedComment>
  <threadedComment ref="G178" dT="2024-06-24T08:08:40.27" personId="{68FE641C-13D6-414F-A435-AD08A2569DF6}" id="{C67414E6-E5DB-40C0-89FD-0EDBA1F18CC6}">
    <text>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ext>
    <extLst>
      <x:ext xmlns:xltc2="http://schemas.microsoft.com/office/spreadsheetml/2020/threadedcomments2" uri="{F7C98A9C-CBB3-438F-8F68-D28B6AF4A901}">
        <xltc2:checksum>2887270234</xltc2:checksum>
        <xltc2:hyperlink startIndex="243" length="81" url="https://www.climatiq.io/data/emission-factor/9f2508be-4752-42be-84cc-09406ec2057e"/>
      </x:ext>
    </extLst>
  </threadedComment>
  <threadedComment ref="E179" dT="2024-07-01T11:09:41.41" personId="{68FE641C-13D6-414F-A435-AD08A2569DF6}" id="{4583BBB7-2B90-462B-BC7D-7A57B60422F7}">
    <text>https://www.ensto.com/fi/sahkoverkonrakennus/tuotteet/keskijanniteratkaisut-ja-verkostoautomaatio/ilmajohtotarvikkeet/orret/sh66/</text>
    <extLst>
      <x:ext xmlns:xltc2="http://schemas.microsoft.com/office/spreadsheetml/2020/threadedcomments2" uri="{F7C98A9C-CBB3-438F-8F68-D28B6AF4A901}">
        <xltc2:checksum>1700444446</xltc2:checksum>
        <xltc2:hyperlink startIndex="0" length="129" url="https://www.ensto.com/fi/sahkoverkonrakennus/tuotteet/keskijanniteratkaisut-ja-verkostoautomaatio/ilmajohtotarvikkeet/orret/sh66/"/>
      </x:ext>
    </extLst>
  </threadedComment>
  <threadedComment ref="G179" dT="2024-06-18T12:41:41.43" personId="{68FE641C-13D6-414F-A435-AD08A2569DF6}" id="{0CBC6E27-B5C8-45AA-B722-3D82BBF453BE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188" dT="2024-06-20T08:26:52.33" personId="{68FE641C-13D6-414F-A435-AD08A2569DF6}" id="{CE41396A-1915-4911-8E90-DE15BC3092A6}">
    <text>https://www.sahkonumerot.fi/5025001</text>
    <extLst>
      <x:ext xmlns:xltc2="http://schemas.microsoft.com/office/spreadsheetml/2020/threadedcomments2" uri="{F7C98A9C-CBB3-438F-8F68-D28B6AF4A901}">
        <xltc2:checksum>660868130</xltc2:checksum>
        <xltc2:hyperlink startIndex="0" length="35" url="https://www.sahkonumerot.fi/5025001"/>
      </x:ext>
    </extLst>
  </threadedComment>
  <threadedComment ref="G188" dT="2024-06-18T12:41:41.43" personId="{68FE641C-13D6-414F-A435-AD08A2569DF6}" id="{B0A586F3-4EB9-46ED-8479-C89A9581BE83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189" dT="2024-07-29T10:07:53.46" personId="{68FE641C-13D6-414F-A435-AD08A2569DF6}" id="{ED17F02A-46B8-4830-9D4D-6222F4337F8C}">
    <text>https://www.sahkonumerot.fi/5025108</text>
    <extLst>
      <x:ext xmlns:xltc2="http://schemas.microsoft.com/office/spreadsheetml/2020/threadedcomments2" uri="{F7C98A9C-CBB3-438F-8F68-D28B6AF4A901}">
        <xltc2:checksum>656772642</xltc2:checksum>
        <xltc2:hyperlink startIndex="0" length="35" url="https://www.sahkonumerot.fi/5025108"/>
      </x:ext>
    </extLst>
  </threadedComment>
  <threadedComment ref="G189" dT="2024-06-20T07:04:36.05" personId="{68FE641C-13D6-414F-A435-AD08A2569DF6}" id="{D9A2EB93-5B3F-4D52-AEFD-D89B81626AEC}">
    <text xml:space="preserve">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ext>
    <extLst>
      <x:ext xmlns:xltc2="http://schemas.microsoft.com/office/spreadsheetml/2020/threadedcomments2" uri="{F7C98A9C-CBB3-438F-8F68-D28B6AF4A901}">
        <xltc2:checksum>836706489</xltc2:checksum>
        <xltc2:hyperlink startIndex="0" length="25" url="https://co2data.fi/infra/"/>
        <xltc2:hyperlink startIndex="111" length="91" url="https://www.gov.uk/government/publications/greenhouse-gas-reporting-conversion-factors-2023"/>
      </x:ext>
    </extLst>
  </threadedComment>
  <threadedComment ref="E198" dT="2024-06-28T09:25:41.74" personId="{68FE641C-13D6-414F-A435-AD08A2569DF6}" id="{23C9877B-ADE7-4F15-B46B-345C2B90F3E9}">
    <text>https://www.onninen.fi/ensto-tappieristin-sdi-37-24kv-vetoholkilla/p/AAK119</text>
    <extLst>
      <x:ext xmlns:xltc2="http://schemas.microsoft.com/office/spreadsheetml/2020/threadedcomments2" uri="{F7C98A9C-CBB3-438F-8F68-D28B6AF4A901}">
        <xltc2:checksum>2394639130</xltc2:checksum>
        <xltc2:hyperlink startIndex="0" length="75" url="https://www.onninen.fi/ensto-tappieristin-sdi-37-24kv-vetoholkilla/p/AAK119"/>
      </x:ext>
    </extLst>
  </threadedComment>
  <threadedComment ref="G198" dT="2024-06-24T08:08:40.27" personId="{68FE641C-13D6-414F-A435-AD08A2569DF6}" id="{FEB68C97-6460-4F56-861A-677957D67726}">
    <text>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ext>
    <extLst>
      <x:ext xmlns:xltc2="http://schemas.microsoft.com/office/spreadsheetml/2020/threadedcomments2" uri="{F7C98A9C-CBB3-438F-8F68-D28B6AF4A901}">
        <xltc2:checksum>2887270234</xltc2:checksum>
        <xltc2:hyperlink startIndex="243" length="81" url="https://www.climatiq.io/data/emission-factor/9f2508be-4752-42be-84cc-09406ec2057e"/>
      </x:ext>
    </extLst>
  </threadedComment>
  <threadedComment ref="E199" dT="2024-06-28T10:56:19.32" personId="{68FE641C-13D6-414F-A435-AD08A2569DF6}" id="{17B3A52E-402E-4CD2-B046-38776711C4AB}">
    <text>https://www.sahkonumerot.fi/5020426</text>
    <extLst>
      <x:ext xmlns:xltc2="http://schemas.microsoft.com/office/spreadsheetml/2020/threadedcomments2" uri="{F7C98A9C-CBB3-438F-8F68-D28B6AF4A901}">
        <xltc2:checksum>2037815726</xltc2:checksum>
        <xltc2:hyperlink startIndex="0" length="35" url="https://www.sahkonumerot.fi/5020426"/>
      </x:ext>
    </extLst>
  </threadedComment>
  <threadedComment ref="G199" dT="2024-06-18T12:41:41.43" personId="{68FE641C-13D6-414F-A435-AD08A2569DF6}" id="{7DEFA63A-BAE4-4326-8864-A2890A16164A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G211" dT="2025-05-06T06:51:06.27" personId="{68FE641C-13D6-414F-A435-AD08A2569DF6}" id="{E13DA6E4-B0E8-44E7-B85B-913722F26B37}">
    <text>Oletus raivatusta puustosta: 
Rakentaminen teiden varsiin, jolloin raivausta (avojohdolle) 5m leveydeltä, (3 m raivaus PAS, pj-ilmajohto ei raivausta, kaapeli ei raivausta).
Puolet metsää ja puolet peltoa reitistä.
Tällöin raivattava ala km matkalta avojohdolle on 1000m * 5m = 0,5ha.
Puuston keskitilavuus on 122m3 / ha
Suomen metsissä on puuta 2,5 miljardia kuutiometriä – neljännes siitä löytyy soilta | Luonnonvarakeskus 
Oletuksilla:
- 50% reitistä metsää
- 5m raivaustarve =&gt; 0,5ha / km johtoreittiä.
- 122m3 puuta / ha
Saadaan poistettavan puun määräksi 30,5m3 / km johtoreitti.
Raivattu puumassa antaa alla olevan linkin laskurilla arvon 28,2 t CO2
https://laskurit.hiilineutraalisuomi.fi/nielu/</text>
    <extLst>
      <x:ext xmlns:xltc2="http://schemas.microsoft.com/office/spreadsheetml/2020/threadedcomments2" uri="{F7C98A9C-CBB3-438F-8F68-D28B6AF4A901}">
        <xltc2:checksum>100313121</xltc2:checksum>
        <xltc2:hyperlink startIndex="324" length="103" url="https://www.luke.fi/fi/uutiset/suomen-metsissa-on-puuta-25-miljardia-kuutiometria-neljannes-siita-loytyy-soilta"/>
        <xltc2:hyperlink startIndex="663" length="46" url="https://laskurit.hiilineutraalisuomi.fi/nielu/"/>
      </x:ext>
    </extLst>
  </threadedComment>
  <threadedComment ref="J221" dT="2024-02-27T08:33:44.76" personId="{68FE641C-13D6-414F-A435-AD08A2569DF6}" id="{C9793C8A-59F9-4CE4-96C0-0F086529F27F}">
    <text>Manufacturing, raaka-aineet ja kuljetus on sisällytetty koko elinkaaren aikaisiin vaikutuksiin (perustelut dokumentin sivulla 9).
https://sahkonumerot.fi/5411202/doc/environmentalproductdeclaration/?_gl=1*gwju7j*_ga*MTgzMDQ2MDAxNC4xNzA2MTgzMDEy*_ga_FR81BJWHT5*MTcwOTAyMjY3My44LjEuMTcwOTAyMjc3NS4wLjAuMA..</text>
    <extLst>
      <x:ext xmlns:xltc2="http://schemas.microsoft.com/office/spreadsheetml/2020/threadedcomments2" uri="{F7C98A9C-CBB3-438F-8F68-D28B6AF4A901}">
        <xltc2:checksum>3963466037</xltc2:checksum>
        <xltc2:hyperlink startIndex="131" length="172" url="https://sahkonumerot.fi/5411202/doc/environmentalproductdeclaration/?_gl=1*gwju7j*_ga*MTgzMDQ2MDAxNC4xNzA2MTgzMDEy*_ga_FR81BJWHT5*MTcwOTAyMjY3My44LjEuMTcwOTAyMjc3NS4wLjAuMA"/>
      </x:ext>
    </extLst>
  </threadedComment>
  <threadedComment ref="J224" dT="2024-11-26T12:26:51.62" personId="{68FE641C-13D6-414F-A435-AD08A2569DF6}" id="{7F69FC8C-3F81-46F1-8E78-F6F7977F1188}">
    <text>https://library.e.abb.com/public/bac306da5cd446d2ba0c6c3b6815c526/ABBG-00192-V01.01-EN.pdf?x-sign=q1UG56kG3B5DyjuLL8xwmnqcaT3vYKASh2NfTxG0zA2epykJ7EZlLGgNzx6z7Q3K</text>
    <extLst>
      <x:ext xmlns:xltc2="http://schemas.microsoft.com/office/spreadsheetml/2020/threadedcomments2" uri="{F7C98A9C-CBB3-438F-8F68-D28B6AF4A901}">
        <xltc2:checksum>2549294779</xltc2:checksum>
        <xltc2:hyperlink startIndex="0" length="162" url="https://library.e.abb.com/public/bac306da5cd446d2ba0c6c3b6815c526/ABBG-00192-V01.01-EN.pdf?x-sign=q1UG56kG3B5DyjuLL8xwmnqcaT3vYKASh2NfTxG0zA2epykJ7EZlLGgNzx6z7Q3K"/>
      </x:ext>
    </extLst>
  </threadedComment>
  <threadedComment ref="J225" dT="2024-02-27T08:22:36.74" personId="{68FE641C-13D6-414F-A435-AD08A2569DF6}" id="{8C60A718-C2BE-45A1-9E7C-2A9C7A007761}">
    <text>Manufacturing, raaka-aineet ja kuljetus on sisällytetty koko elinkaaren aikaisiin vaikutuksiin (perustelut dokumentin sivulla 9).
https://search.abb.com/library/Download.aspx?DocumentID=2CGD001327S1000&amp;LanguageCode=en&amp;DocumentPartId=&amp;Action=Launch</text>
    <extLst>
      <x:ext xmlns:xltc2="http://schemas.microsoft.com/office/spreadsheetml/2020/threadedcomments2" uri="{F7C98A9C-CBB3-438F-8F68-D28B6AF4A901}">
        <xltc2:checksum>3008765365</xltc2:checksum>
        <xltc2:hyperlink startIndex="131" length="117" url="https://search.abb.com/library/Download.aspx?DocumentID=2CGD001327S1000&amp;LanguageCode=en&amp;DocumentPartId=&amp;Action=Launch"/>
      </x:ext>
    </extLst>
  </threadedComment>
  <threadedComment ref="F234" dT="2024-07-04T10:41:36.77" personId="{68FE641C-13D6-414F-A435-AD08A2569DF6}" id="{813AD1C7-5E2D-4723-892D-CFE8F091183F}">
    <text>https://www.ensto.com/fi/sahkoverkonrakennus/tuotteet/pienjanniteratkaisut/ilmajohtotarvikkeet/pylvastarvikkeet/sh82/</text>
    <extLst>
      <x:ext xmlns:xltc2="http://schemas.microsoft.com/office/spreadsheetml/2020/threadedcomments2" uri="{F7C98A9C-CBB3-438F-8F68-D28B6AF4A901}">
        <xltc2:checksum>2870935414</xltc2:checksum>
        <xltc2:hyperlink startIndex="0" length="117" url="https://www.ensto.com/fi/sahkoverkonrakennus/tuotteet/pienjanniteratkaisut/ilmajohtotarvikkeet/pylvastarvikkeet/sh82/"/>
      </x:ext>
    </extLst>
  </threadedComment>
  <threadedComment ref="H234" dT="2024-06-18T12:41:41.43" personId="{68FE641C-13D6-414F-A435-AD08A2569DF6}" id="{A388514D-DB63-4103-800D-E1A415411D71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235" dT="2024-07-04T10:51:33.08" personId="{68FE641C-13D6-414F-A435-AD08A2569DF6}" id="{D39DB686-EA84-4176-A793-C6F9796088C0}">
    <text>https://www.ensto.com/fi/sahkoverkonrakennus/tuotteet/keskijanniteratkaisut-ja-verkostoautomaatio/ilmajohtotarvikkeet/pylvastarvikkeet/sh244.2/</text>
    <extLst>
      <x:ext xmlns:xltc2="http://schemas.microsoft.com/office/spreadsheetml/2020/threadedcomments2" uri="{F7C98A9C-CBB3-438F-8F68-D28B6AF4A901}">
        <xltc2:checksum>1467141802</xltc2:checksum>
        <xltc2:hyperlink startIndex="0" length="143" url="https://www.ensto.com/fi/sahkoverkonrakennus/tuotteet/keskijanniteratkaisut-ja-verkostoautomaatio/ilmajohtotarvikkeet/pylvastarvikkeet/sh244.2/"/>
      </x:ext>
    </extLst>
  </threadedComment>
  <threadedComment ref="H235" dT="2024-06-18T12:41:41.43" personId="{68FE641C-13D6-414F-A435-AD08A2569DF6}" id="{C0041FC8-8976-4D13-B84F-F37880963DF1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236" dT="2024-10-30T12:59:14.07" personId="{68FE641C-13D6-414F-A435-AD08A2569DF6}" id="{7E7E2DAD-86E4-4AAE-ABE8-6535AA61D49C}">
    <text>https://www.sahkonumerot.fi/5021225/</text>
    <extLst>
      <x:ext xmlns:xltc2="http://schemas.microsoft.com/office/spreadsheetml/2020/threadedcomments2" uri="{F7C98A9C-CBB3-438F-8F68-D28B6AF4A901}">
        <xltc2:checksum>3218288954</xltc2:checksum>
        <xltc2:hyperlink startIndex="0" length="36" url="https://www.sahkonumerot.fi/5021225/"/>
      </x:ext>
    </extLst>
  </threadedComment>
  <threadedComment ref="H236" dT="2024-06-18T12:41:41.43" personId="{68FE641C-13D6-414F-A435-AD08A2569DF6}" id="{9D82BB60-07A7-4976-B78A-C3FD49EEAE70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F239" dT="2024-09-24T09:51:41.25" personId="{68FE641C-13D6-414F-A435-AD08A2569DF6}" id="{36C34FB6-D08E-4723-9329-244E74067C55}">
    <text>https://www.onninen.fi/fix-master-kansiruuvi-din-571-kzn-12x100-50kpl/p/CSA491</text>
    <extLst>
      <x:ext xmlns:xltc2="http://schemas.microsoft.com/office/spreadsheetml/2020/threadedcomments2" uri="{F7C98A9C-CBB3-438F-8F68-D28B6AF4A901}">
        <xltc2:checksum>2090763731</xltc2:checksum>
        <xltc2:hyperlink startIndex="0" length="78" url="https://www.onninen.fi/fix-master-kansiruuvi-din-571-kzn-12x100-50kpl/p/CSA491"/>
      </x:ext>
    </extLst>
  </threadedComment>
  <threadedComment ref="I239" dT="2024-06-18T12:41:41.43" personId="{68FE641C-13D6-414F-A435-AD08A2569DF6}" id="{AAD0C19E-00C2-42EF-AC49-52A78310AF52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D245" dT="2025-01-03T07:47:48.69" personId="{68FE641C-13D6-414F-A435-AD08A2569DF6}" id="{22A22630-4142-40B2-B9C0-12547BA1E6B9}">
    <text>https://www.sahkonumerot.fi/5044012</text>
    <extLst>
      <x:ext xmlns:xltc2="http://schemas.microsoft.com/office/spreadsheetml/2020/threadedcomments2" uri="{F7C98A9C-CBB3-438F-8F68-D28B6AF4A901}">
        <xltc2:checksum>715595358</xltc2:checksum>
        <xltc2:hyperlink startIndex="0" length="35" url="https://www.sahkonumerot.fi/5044012"/>
      </x:ext>
    </extLst>
  </threadedComment>
  <threadedComment ref="F245" dT="2024-06-20T07:04:36.05" personId="{68FE641C-13D6-414F-A435-AD08A2569DF6}" id="{0EA02344-0B60-44EC-A615-3577FFBF4F9A}">
    <text xml:space="preserve">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ext>
    <extLst>
      <x:ext xmlns:xltc2="http://schemas.microsoft.com/office/spreadsheetml/2020/threadedcomments2" uri="{F7C98A9C-CBB3-438F-8F68-D28B6AF4A901}">
        <xltc2:checksum>836706489</xltc2:checksum>
        <xltc2:hyperlink startIndex="0" length="25" url="https://co2data.fi/infra/"/>
        <xltc2:hyperlink startIndex="111" length="91" url="https://www.gov.uk/government/publications/greenhouse-gas-reporting-conversion-factors-2023"/>
      </x:ext>
    </extLst>
  </threadedComment>
  <threadedComment ref="C251" dT="2024-11-05T11:15:33.98" personId="{68FE641C-13D6-414F-A435-AD08A2569DF6}" id="{6871EFE6-D5D7-4723-B92A-26E2C2825E43}">
    <text>https://www.rudus.fi/tuotteet/infraelementit/muuntamorakennukset/1718/puistomuuntamo?tab=tuote&amp;ProductId=4023</text>
    <extLst>
      <x:ext xmlns:xltc2="http://schemas.microsoft.com/office/spreadsheetml/2020/threadedcomments2" uri="{F7C98A9C-CBB3-438F-8F68-D28B6AF4A901}">
        <xltc2:checksum>1475174438</xltc2:checksum>
        <xltc2:hyperlink startIndex="0" length="109" url="https://www.rudus.fi/tuotteet/infraelementit/muuntamorakennukset/1718/puistomuuntamo?tab=tuote&amp;ProductId=4023"/>
      </x:ext>
    </extLst>
  </threadedComment>
  <threadedComment ref="E252" dT="2024-11-05T11:19:45.35" personId="{68FE641C-13D6-414F-A435-AD08A2569DF6}" id="{A7063C32-1CFD-4FA4-AB03-3DE3B5AC12D2}">
    <text>0,15 kg CO2e / kg (ontelolaatta elementti)
https://co2data.fi/infra/</text>
    <extLst>
      <x:ext xmlns:xltc2="http://schemas.microsoft.com/office/spreadsheetml/2020/threadedcomments2" uri="{F7C98A9C-CBB3-438F-8F68-D28B6AF4A901}">
        <xltc2:checksum>4157465818</xltc2:checksum>
        <xltc2:hyperlink startIndex="44" length="25" url="https://co2data.fi/infra/"/>
      </x:ext>
    </extLst>
  </threadedComment>
  <threadedComment ref="E264" dT="2024-07-01T08:15:01.12" personId="{68FE641C-13D6-414F-A435-AD08A2569DF6}" id="{76FB9E64-2665-4008-B1FC-36D8CBC043B7}">
    <text>https://www.sahkonumerot.fi/5043106</text>
    <extLst>
      <x:ext xmlns:xltc2="http://schemas.microsoft.com/office/spreadsheetml/2020/threadedcomments2" uri="{F7C98A9C-CBB3-438F-8F68-D28B6AF4A901}">
        <xltc2:checksum>786508165</xltc2:checksum>
        <xltc2:hyperlink startIndex="0" length="35" url="https://www.sahkonumerot.fi/5043106"/>
      </x:ext>
    </extLst>
  </threadedComment>
  <threadedComment ref="G264" dT="2024-06-18T12:41:41.43" personId="{68FE641C-13D6-414F-A435-AD08A2569DF6}" id="{561CE051-C1E0-4F27-BF26-1EDD62F74E66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H265" dT="2024-07-01T11:20:16.50" personId="{68FE641C-13D6-414F-A435-AD08A2569DF6}" id="{1E360648-0C14-4C5B-97C7-3D4A4751688C}">
    <text>https://www.epditaly.it/wp-content/uploads/2016/12/EPD_XIANGHE_Anthesis_Lavola_.REV_03.01.2022_v2.pdf</text>
    <extLst>
      <x:ext xmlns:xltc2="http://schemas.microsoft.com/office/spreadsheetml/2020/threadedcomments2" uri="{F7C98A9C-CBB3-438F-8F68-D28B6AF4A901}">
        <xltc2:checksum>2216404401</xltc2:checksum>
        <xltc2:hyperlink startIndex="0" length="101" url="https://www.epditaly.it/wp-content/uploads/2016/12/EPD_XIANGHE_Anthesis_Lavola_.REV_03.01.2022_v2.pdf"/>
      </x:ext>
    </extLst>
  </threadedComment>
  <threadedComment ref="E266" dT="2024-06-28T13:04:14.49" personId="{68FE641C-13D6-414F-A435-AD08A2569DF6}" id="{FC616BD2-7714-422D-BA56-F20DEA48A226}">
    <text>https://www.ensto.com/fi/sahkoverkonrakennus/tuotteet/keskijanniteratkaisut-ja-verkostoautomaatio/ilmajohtotarvikkeet/orret/sh696/</text>
    <extLst>
      <x:ext xmlns:xltc2="http://schemas.microsoft.com/office/spreadsheetml/2020/threadedcomments2" uri="{F7C98A9C-CBB3-438F-8F68-D28B6AF4A901}">
        <xltc2:checksum>2647574051</xltc2:checksum>
        <xltc2:hyperlink startIndex="0" length="130" url="https://www.ensto.com/fi/sahkoverkonrakennus/tuotteet/keskijanniteratkaisut-ja-verkostoautomaatio/ilmajohtotarvikkeet/orret/sh696/"/>
      </x:ext>
    </extLst>
  </threadedComment>
  <threadedComment ref="G266" dT="2024-06-18T12:41:41.43" personId="{68FE641C-13D6-414F-A435-AD08A2569DF6}" id="{EAE68BDA-BD80-4C0D-933C-FD7E27B8FCD7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C274" dT="2024-11-25T11:58:09.62" personId="{68FE641C-13D6-414F-A435-AD08A2569DF6}" id="{CA00C7A8-20E2-460C-A1CD-0B78E16B63D1}">
    <text>Sivu 25
https://library.e.abb.com/public/69dceb20459249b793d17936186f396a/KJK1FI02_05.pdf?x-sign=7m0Nf4pBk+JHXOYE9SpkHihkjRUYpwYlDlb/Tss9kHj8FvoZ4y1l3GH0zOLcMRlI</text>
    <extLst>
      <x:ext xmlns:xltc2="http://schemas.microsoft.com/office/spreadsheetml/2020/threadedcomments2" uri="{F7C98A9C-CBB3-438F-8F68-D28B6AF4A901}">
        <xltc2:checksum>2999491101</xltc2:checksum>
        <xltc2:hyperlink startIndex="9" length="153" url="https://library.e.abb.com/public/69dceb20459249b793d17936186f396a/KJK1FI02_05.pdf?x-sign=7m0Nf4pBk+JHXOYE9SpkHihkjRUYpwYlDlb/Tss9kHj8FvoZ4y1l3GH0zOLcMRlI"/>
      </x:ext>
    </extLst>
  </threadedComment>
  <threadedComment ref="G274" dT="2024-11-25T12:11:13.56" personId="{68FE641C-13D6-414F-A435-AD08A2569DF6}" id="{6938E038-80B7-4376-82E3-92DF39D8A379}">
    <text>Kiskon paino/metri x kiskon pituus</text>
  </threadedComment>
  <threadedComment ref="H274" dT="2024-11-25T12:12:44.07" personId="{68FE641C-13D6-414F-A435-AD08A2569DF6}" id="{CBD5EC34-F0CF-4396-9F84-33E4010C3EE0}">
    <text xml:space="preserve">Alumiinin päästökerroin 
Tässä käytetään neitseellisen alumiinin kerrointa 9,108 kg CO2e /kg.
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ext>
    <extLst>
      <x:ext xmlns:xltc2="http://schemas.microsoft.com/office/spreadsheetml/2020/threadedcomments2" uri="{F7C98A9C-CBB3-438F-8F68-D28B6AF4A901}">
        <xltc2:checksum>1971075825</xltc2:checksum>
        <xltc2:hyperlink startIndex="95" length="25" url="https://co2data.fi/infra/"/>
        <xltc2:hyperlink startIndex="206" length="91" url="https://www.gov.uk/government/publications/greenhouse-gas-reporting-conversion-factors-2023"/>
      </x:ext>
    </extLst>
  </threadedComment>
  <threadedComment ref="E275" dT="2024-11-25T12:17:40.88" personId="{68FE641C-13D6-414F-A435-AD08A2569DF6}" id="{60544CF0-D26A-439A-A6A7-B92E27F53F40}">
    <text>400, koska 630:lle ei alle 400mm kiskoa valmistajalta tarjolla kyseisestä taulukosta.</text>
  </threadedComment>
  <threadedComment ref="E276" dT="2024-11-25T12:17:40.88" personId="{68FE641C-13D6-414F-A435-AD08A2569DF6}" id="{4E3FB629-EDA0-4780-B5EC-ABF84B39E291}">
    <text>400, koska 630:lle ei alle 400mm kiskoa valmistajalta tarjolla kyseisestä taulukosta.</text>
  </threadedComment>
  <threadedComment ref="E298" dT="2024-07-03T12:43:01.85" personId="{68FE641C-13D6-414F-A435-AD08A2569DF6}" id="{357DBB92-A2B6-424D-91EA-2AAE8921C403}">
    <text>https://www.ensto.com/fi/sahkoverkonrakennus/tuotteet/pienjanniteratkaisut/ilmajohtotarvikkeet/pylvastarvikkeet/sh167.30/</text>
    <extLst>
      <x:ext xmlns:xltc2="http://schemas.microsoft.com/office/spreadsheetml/2020/threadedcomments2" uri="{F7C98A9C-CBB3-438F-8F68-D28B6AF4A901}">
        <xltc2:checksum>2630036406</xltc2:checksum>
        <xltc2:hyperlink startIndex="0" length="121" url="https://www.ensto.com/fi/sahkoverkonrakennus/tuotteet/pienjanniteratkaisut/ilmajohtotarvikkeet/pylvastarvikkeet/sh167.30/"/>
      </x:ext>
    </extLst>
  </threadedComment>
  <threadedComment ref="G298" dT="2024-06-18T12:41:41.43" personId="{68FE641C-13D6-414F-A435-AD08A2569DF6}" id="{1E85C5AE-12F2-44DB-B8FC-DAF22290C54C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299" dT="2024-07-03T12:47:27.99" personId="{68FE641C-13D6-414F-A435-AD08A2569DF6}" id="{AF4E30B0-291F-45E5-8F86-7A98190C9E1D}">
    <text>https://www.ensto.com/fi/sahkoverkonrakennus/tuotteet/pienjanniteratkaisut/ilmajohtotarvikkeet/pylvastarvikkeet/sot4.6/</text>
    <extLst>
      <x:ext xmlns:xltc2="http://schemas.microsoft.com/office/spreadsheetml/2020/threadedcomments2" uri="{F7C98A9C-CBB3-438F-8F68-D28B6AF4A901}">
        <xltc2:checksum>3093635089</xltc2:checksum>
        <xltc2:hyperlink startIndex="0" length="119" url="https://www.ensto.com/fi/sahkoverkonrakennus/tuotteet/pienjanniteratkaisut/ilmajohtotarvikkeet/pylvastarvikkeet/sot4.6/"/>
      </x:ext>
    </extLst>
  </threadedComment>
  <threadedComment ref="G299" dT="2024-06-18T12:41:41.43" personId="{68FE641C-13D6-414F-A435-AD08A2569DF6}" id="{DEE413B1-B2BC-4642-AC81-9963327B973D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300" dT="2024-07-04T08:58:07.47" personId="{68FE641C-13D6-414F-A435-AD08A2569DF6}" id="{B45D74DB-5CF7-45E1-B506-7A625896D855}">
    <text>https://www.sahkonumerot.fi/5024840</text>
    <extLst>
      <x:ext xmlns:xltc2="http://schemas.microsoft.com/office/spreadsheetml/2020/threadedcomments2" uri="{F7C98A9C-CBB3-438F-8F68-D28B6AF4A901}">
        <xltc2:checksum>3427148544</xltc2:checksum>
        <xltc2:hyperlink startIndex="0" length="35" url="https://www.sahkonumerot.fi/5024840"/>
      </x:ext>
    </extLst>
  </threadedComment>
  <threadedComment ref="G300" dT="2024-07-05T07:36:40.29" personId="{68FE641C-13D6-414F-A435-AD08A2569DF6}" id="{A5641A32-BBCE-43AC-86B0-5DA4C05554F3}">
    <text xml:space="preserve">https://co2data.fi/infra/
betonikaivo, päällyskansi, umpikansi Ø = 600 mm, h = 40 mm 
0,15 kg CO2e / kg
Valitsen tämän arvon, koska sivulla
https://www.jakobetoni.fi/betonituotteet/haruslaatat
https://www.jakobetoni.fi/tiedostot/dop-jakobetoni.pdf
Ladattavan tiedoston mukaan saa käsityksen, että samaa betonilaatua käytetään haruslaatoissa, kuin betonisissa kaivonkansissa.
Ja SYKE:n tietokannasta löytyi tuo kaivonkannen päästötieto.
</text>
    <extLst>
      <x:ext xmlns:xltc2="http://schemas.microsoft.com/office/spreadsheetml/2020/threadedcomments2" uri="{F7C98A9C-CBB3-438F-8F68-D28B6AF4A901}">
        <xltc2:checksum>3461562118</xltc2:checksum>
        <xltc2:hyperlink startIndex="0" length="25" url="https://co2data.fi/infra/"/>
        <xltc2:hyperlink startIndex="144" length="52" url="https://www.jakobetoni.fi/betonituotteet/haruslaatat"/>
        <xltc2:hyperlink startIndex="198" length="54" url="https://www.jakobetoni.fi/tiedostot/dop-jakobetoni.pdf"/>
      </x:ext>
    </extLst>
  </threadedComment>
  <threadedComment ref="E301" dT="2024-07-05T07:07:54.86" personId="{68FE641C-13D6-414F-A435-AD08A2569DF6}" id="{49290F4B-1E63-427B-8D60-3CD23E71D780}">
    <text>https://www.ensto.com/fi/sahkoverkonrakennus/tuotteet/pienjanniteratkaisut/ilmajohtotarvikkeet/pylvastarvikkeet/sh81/</text>
    <extLst>
      <x:ext xmlns:xltc2="http://schemas.microsoft.com/office/spreadsheetml/2020/threadedcomments2" uri="{F7C98A9C-CBB3-438F-8F68-D28B6AF4A901}">
        <xltc2:checksum>1511981017</xltc2:checksum>
        <xltc2:hyperlink startIndex="0" length="117" url="https://www.ensto.com/fi/sahkoverkonrakennus/tuotteet/pienjanniteratkaisut/ilmajohtotarvikkeet/pylvastarvikkeet/sh81/"/>
      </x:ext>
    </extLst>
  </threadedComment>
  <threadedComment ref="G301" dT="2024-06-18T12:41:41.43" personId="{68FE641C-13D6-414F-A435-AD08A2569DF6}" id="{AEE7892E-502C-479F-9745-134B98F6DBA9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G302" dT="2024-06-18T12:41:41.43" personId="{68FE641C-13D6-414F-A435-AD08A2569DF6}" id="{0257A4FF-5353-429B-AF42-1D93D9A59FA0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G311" dT="2024-05-30T06:12:19.67" personId="{68FE641C-13D6-414F-A435-AD08A2569DF6}" id="{173A57DC-192F-4D20-B254-6A055980A2AB}">
    <text>Kuparin CO2e sivu 3
https://co2data.fi/infra/reports/INFRA%20muut%20metallituotteet%20R01.05.pdf</text>
    <extLst>
      <x:ext xmlns:xltc2="http://schemas.microsoft.com/office/spreadsheetml/2020/threadedcomments2" uri="{F7C98A9C-CBB3-438F-8F68-D28B6AF4A901}">
        <xltc2:checksum>2118874686</xltc2:checksum>
        <xltc2:hyperlink startIndex="21" length="76" url="https://co2data.fi/infra/reports/INFRA%20muut%20metallituotteet%20R01.05.pdf"/>
      </x:ext>
    </extLst>
  </threadedComment>
  <threadedComment ref="F312" dT="2024-05-30T06:05:42.22" personId="{68FE641C-13D6-414F-A435-AD08A2569DF6}" id="{C910DA35-7DE9-4AE9-B094-5FC35D546BED}">
    <text>https://www.sahkonumerot.fi/5040306</text>
    <extLst>
      <x:ext xmlns:xltc2="http://schemas.microsoft.com/office/spreadsheetml/2020/threadedcomments2" uri="{F7C98A9C-CBB3-438F-8F68-D28B6AF4A901}">
        <xltc2:checksum>3513382913</xltc2:checksum>
        <xltc2:hyperlink startIndex="0" length="35" url="https://www.sahkonumerot.fi/5040306"/>
      </x:ext>
    </extLst>
  </threadedComment>
  <threadedComment ref="F313" dT="2024-05-30T06:08:37.66" personId="{68FE641C-13D6-414F-A435-AD08A2569DF6}" id="{E559D053-1ADB-46B9-96A9-42D18D302BAC}">
    <text>https://www.sahkonumerot.fi/5201038</text>
    <extLst>
      <x:ext xmlns:xltc2="http://schemas.microsoft.com/office/spreadsheetml/2020/threadedcomments2" uri="{F7C98A9C-CBB3-438F-8F68-D28B6AF4A901}">
        <xltc2:checksum>2533300440</xltc2:checksum>
        <xltc2:hyperlink startIndex="0" length="35" url="https://www.sahkonumerot.fi/5201038"/>
      </x:ext>
    </extLst>
  </threadedComment>
  <threadedComment ref="F314" dT="2024-05-30T09:13:29.37" personId="{68FE641C-13D6-414F-A435-AD08A2569DF6}" id="{8BFF26F5-ECF0-4B2F-97B2-86D1514D0923}">
    <text>https://www.sahkonumerot.fi/5026121</text>
    <extLst>
      <x:ext xmlns:xltc2="http://schemas.microsoft.com/office/spreadsheetml/2020/threadedcomments2" uri="{F7C98A9C-CBB3-438F-8F68-D28B6AF4A901}">
        <xltc2:checksum>2250252809</xltc2:checksum>
        <xltc2:hyperlink startIndex="0" length="35" url="https://www.sahkonumerot.fi/5026121"/>
      </x:ext>
    </extLst>
  </threadedComment>
  <threadedComment ref="G314" dT="2024-05-30T09:28:15.92" personId="{68FE641C-13D6-414F-A435-AD08A2569DF6}" id="{6374AACA-C24D-4C96-BC8A-B13B862853BD}">
    <text xml:space="preserve">Kuparin CO2e sivu 3
https://co2data.fi/infra/reports/INFRA%20muut%20metallituotteet%20R01.05.pdf
</text>
    <extLst>
      <x:ext xmlns:xltc2="http://schemas.microsoft.com/office/spreadsheetml/2020/threadedcomments2" uri="{F7C98A9C-CBB3-438F-8F68-D28B6AF4A901}">
        <xltc2:checksum>1980253001</xltc2:checksum>
        <xltc2:hyperlink startIndex="21" length="76" url="https://co2data.fi/infra/reports/INFRA%20muut%20metallituotteet%20R01.05.pdf"/>
      </x:ext>
    </extLst>
  </threadedComment>
  <threadedComment ref="H315" dT="2024-05-30T05:42:40.12" personId="{68FE641C-13D6-414F-A435-AD08A2569DF6}" id="{C6B5094B-F223-4D08-8E90-2ED93FC1CA41}">
    <text>Co2data.fi 16mm2 kupariköyden CO2e arvo 0,59 kerrottuna 25mm2 ja 16mm2 suhteella.</text>
  </threadedComment>
  <threadedComment ref="L352" dT="2024-12-19T12:37:06.86" personId="{68FE641C-13D6-414F-A435-AD08A2569DF6}" id="{32E98694-8DA1-4981-91BC-31D1A59077A0}">
    <text>https://sahkonumerot.fi/5708507/doc/environmentalproductdeclaration/</text>
    <extLst>
      <x:ext xmlns:xltc2="http://schemas.microsoft.com/office/spreadsheetml/2020/threadedcomments2" uri="{F7C98A9C-CBB3-438F-8F68-D28B6AF4A901}">
        <xltc2:checksum>1913102212</xltc2:checksum>
        <xltc2:hyperlink startIndex="0" length="68" url="https://sahkonumerot.fi/5708507/doc/environmentalproductdeclaration/"/>
      </x:ext>
    </extLst>
  </threadedComment>
  <threadedComment ref="E368" dT="2024-02-28T10:37:14.46" personId="{68FE641C-13D6-414F-A435-AD08A2569DF6}" id="{99BD6792-C55C-480E-A1ED-899DC6AB586D}">
    <text>Öljyeristeiset jakelumuuntajat BTB
20 kV-sarja Tier1
https://www.btbtransformers.com/fi/muuntajat/#!/transformer-section-4</text>
    <extLst>
      <x:ext xmlns:xltc2="http://schemas.microsoft.com/office/spreadsheetml/2020/threadedcomments2" uri="{F7C98A9C-CBB3-438F-8F68-D28B6AF4A901}">
        <xltc2:checksum>2184965371</xltc2:checksum>
        <xltc2:hyperlink startIndex="55" length="69" url="https://www.btbtransformers.com/fi/muuntajat/#!/transformer-section-4"/>
      </x:ext>
    </extLst>
  </threadedComment>
  <threadedComment ref="D369" dT="2024-03-20T09:27:19.37" personId="{68FE641C-13D6-414F-A435-AD08A2569DF6}" id="{56572072-6E8E-4451-95B6-F65839FFE6F3}">
    <text>Painot sähkönumerot sivuston tiedoista. Valmistajan tuotekorttia ei löytynyt.
Vanhemmalle Ecodesign EU No. 548/2014 (Tier 1) AL-AL. Löytyi, mutta en ota niitä huomioon, koska ovat Tier 1 luokituksella.
En löydä varmuutta mallille Eaton T2 OTR, mutta oletan, että on Tier 2 luokituksella.</text>
  </threadedComment>
  <threadedComment ref="D370" dT="2024-03-20T09:22:23.96" personId="{68FE641C-13D6-414F-A435-AD08A2569DF6}" id="{0B8DFA86-4DF3-427B-B3B2-3EC0B3C1D5DA}">
    <text>https://www.sahkonumerot.fi/5708501</text>
    <extLst>
      <x:ext xmlns:xltc2="http://schemas.microsoft.com/office/spreadsheetml/2020/threadedcomments2" uri="{F7C98A9C-CBB3-438F-8F68-D28B6AF4A901}">
        <xltc2:checksum>889126308</xltc2:checksum>
        <xltc2:hyperlink startIndex="0" length="35" url="https://www.sahkonumerot.fi/5708501"/>
      </x:ext>
    </extLst>
  </threadedComment>
  <threadedComment ref="D371" dT="2024-03-20T09:23:55.75" personId="{68FE641C-13D6-414F-A435-AD08A2569DF6}" id="{6D538662-BBAD-46B0-8033-0EE7801004DE}">
    <text>https://www.sahkonumerot.fi/5708504</text>
    <extLst>
      <x:ext xmlns:xltc2="http://schemas.microsoft.com/office/spreadsheetml/2020/threadedcomments2" uri="{F7C98A9C-CBB3-438F-8F68-D28B6AF4A901}">
        <xltc2:checksum>888991396</xltc2:checksum>
        <xltc2:hyperlink startIndex="0" length="35" url="https://www.sahkonumerot.fi/5708504"/>
      </x:ext>
    </extLst>
  </threadedComment>
  <threadedComment ref="D372" dT="2024-03-20T10:34:20.79" personId="{68FE641C-13D6-414F-A435-AD08A2569DF6}" id="{FE07717F-C0F6-40A6-AA1F-9842C286A450}">
    <text>https://www.sahkonumerot.fi/5708506</text>
    <extLst>
      <x:ext xmlns:xltc2="http://schemas.microsoft.com/office/spreadsheetml/2020/threadedcomments2" uri="{F7C98A9C-CBB3-438F-8F68-D28B6AF4A901}">
        <xltc2:checksum>889041060</xltc2:checksum>
        <xltc2:hyperlink startIndex="0" length="35" url="https://www.sahkonumerot.fi/5708506"/>
      </x:ext>
    </extLst>
  </threadedComment>
  <threadedComment ref="D373" dT="2024-03-20T10:38:55.75" personId="{68FE641C-13D6-414F-A435-AD08A2569DF6}" id="{9EDA827B-BE93-4A39-B411-08A99D771666}">
    <text>https://www.sahkonumerot.fi/5708531</text>
    <extLst>
      <x:ext xmlns:xltc2="http://schemas.microsoft.com/office/spreadsheetml/2020/threadedcomments2" uri="{F7C98A9C-CBB3-438F-8F68-D28B6AF4A901}">
        <xltc2:checksum>3321822475</xltc2:checksum>
        <xltc2:hyperlink startIndex="0" length="35" url="https://www.sahkonumerot.fi/5708531"/>
      </x:ext>
    </extLst>
  </threadedComment>
  <threadedComment ref="D374" dT="2024-03-20T10:35:22.60" personId="{68FE641C-13D6-414F-A435-AD08A2569DF6}" id="{3880B843-9188-49E1-8791-E6469305449E}">
    <text>https://www.sahkonumerot.fi/5708509</text>
    <extLst>
      <x:ext xmlns:xltc2="http://schemas.microsoft.com/office/spreadsheetml/2020/threadedcomments2" uri="{F7C98A9C-CBB3-438F-8F68-D28B6AF4A901}">
        <xltc2:checksum>888898980</xltc2:checksum>
        <xltc2:hyperlink startIndex="0" length="35" url="https://www.sahkonumerot.fi/5708509"/>
      </x:ext>
    </extLst>
  </threadedComment>
  <threadedComment ref="D375" dT="2024-03-20T10:35:45.58" personId="{68FE641C-13D6-414F-A435-AD08A2569DF6}" id="{4651BE04-D3E3-4962-ADC2-DE43A58BD328}">
    <text>https://www.sahkonumerot.fi/5708512</text>
    <extLst>
      <x:ext xmlns:xltc2="http://schemas.microsoft.com/office/spreadsheetml/2020/threadedcomments2" uri="{F7C98A9C-CBB3-438F-8F68-D28B6AF4A901}">
        <xltc2:checksum>2617183396</xltc2:checksum>
        <xltc2:hyperlink startIndex="0" length="35" url="https://www.sahkonumerot.fi/5708512"/>
      </x:ext>
    </extLst>
  </threadedComment>
  <threadedComment ref="D376" dT="2024-03-20T10:36:14.33" personId="{68FE641C-13D6-414F-A435-AD08A2569DF6}" id="{C662CAEE-8A8F-4C3B-A376-C7DAC59CBD80}">
    <text>https://www.sahkonumerot.fi/5708514</text>
    <extLst>
      <x:ext xmlns:xltc2="http://schemas.microsoft.com/office/spreadsheetml/2020/threadedcomments2" uri="{F7C98A9C-CBB3-438F-8F68-D28B6AF4A901}">
        <xltc2:checksum>2617044644</xltc2:checksum>
        <xltc2:hyperlink startIndex="0" length="35" url="https://www.sahkonumerot.fi/5708514"/>
      </x:ext>
    </extLst>
  </threadedComment>
  <threadedComment ref="D378" dT="2024-03-20T10:36:53.13" personId="{68FE641C-13D6-414F-A435-AD08A2569DF6}" id="{25656623-E45A-4B57-A879-DBD6EC341B22}">
    <text>https://www.sahkonumerot.fi/5708516</text>
    <extLst>
      <x:ext xmlns:xltc2="http://schemas.microsoft.com/office/spreadsheetml/2020/threadedcomments2" uri="{F7C98A9C-CBB3-438F-8F68-D28B6AF4A901}">
        <xltc2:checksum>2617094308</xltc2:checksum>
        <xltc2:hyperlink startIndex="0" length="35" url="https://www.sahkonumerot.fi/5708516"/>
      </x:ext>
    </extLst>
  </threadedComment>
  <threadedComment ref="D379" dT="2024-03-20T10:37:16.64" personId="{68FE641C-13D6-414F-A435-AD08A2569DF6}" id="{3AB9CE55-4604-45C7-B3C0-8825F853521E}">
    <text>https://www.sahkonumerot.fi/5708518</text>
    <extLst>
      <x:ext xmlns:xltc2="http://schemas.microsoft.com/office/spreadsheetml/2020/threadedcomments2" uri="{F7C98A9C-CBB3-438F-8F68-D28B6AF4A901}">
        <xltc2:checksum>2616928932</xltc2:checksum>
        <xltc2:hyperlink startIndex="0" length="35" url="https://www.sahkonumerot.fi/5708518"/>
      </x:ext>
    </extLst>
  </threadedComment>
  <threadedComment ref="D380" dT="2024-03-20T10:37:50.25" personId="{68FE641C-13D6-414F-A435-AD08A2569DF6}" id="{83A7836E-8A15-459F-8FD5-C04CFB6FF7C9}">
    <text>https://www.sahkonumerot.fi/5708520</text>
    <extLst>
      <x:ext xmlns:xltc2="http://schemas.microsoft.com/office/spreadsheetml/2020/threadedcomments2" uri="{F7C98A9C-CBB3-438F-8F68-D28B6AF4A901}">
        <xltc2:checksum>1795052043</xltc2:checksum>
        <xltc2:hyperlink startIndex="0" length="35" url="https://www.sahkonumerot.fi/5708520"/>
      </x:ext>
    </extLst>
  </threadedComment>
  <threadedComment ref="D381" dT="2024-03-20T10:38:50.87" personId="{68FE641C-13D6-414F-A435-AD08A2569DF6}" id="{F8BAB722-6A93-48CD-9814-B27C8BE015D5}">
    <text>https://www.sahkonumerot.fi/5708522</text>
    <extLst>
      <x:ext xmlns:xltc2="http://schemas.microsoft.com/office/spreadsheetml/2020/threadedcomments2" uri="{F7C98A9C-CBB3-438F-8F68-D28B6AF4A901}">
        <xltc2:checksum>1795099659</xltc2:checksum>
        <xltc2:hyperlink startIndex="0" length="35" url="https://www.sahkonumerot.fi/5708522"/>
      </x:ext>
    </extLst>
  </threadedComment>
  <threadedComment ref="C386" dT="2024-03-13T09:54:26.86" personId="{68FE641C-13D6-414F-A435-AD08A2569DF6}" id="{40F22620-CCA2-4F58-A723-EA6649CE16CA}">
    <text>Vertailua muuntajista painojen ja kVA perusteella. Keskiarvoilla lasketut paino ja kVA osuudet (keskiarviot jaettu 50-200, 315-630 ja 800-2000kVA).
Keskiarvot jaettu kolmelle tehoalueelle, koska pienempien muuntajien valmistus on suhteessa ympäristö kuormittavampaa. Tämän huomion näkee EPD:stä kerättyjen tietojen taulukosta.</text>
  </threadedComment>
  <threadedComment ref="E386" dT="2024-02-28T10:37:14.46" personId="{68FE641C-13D6-414F-A435-AD08A2569DF6}" id="{C3310AB2-9CB1-42B5-8CAA-3FF049A65B09}">
    <text>Öljyeristeiset jakelumuuntajat BTB
20 kV-sarja Tier1
https://www.btbtransformers.com/fi/muuntajat/#!/transformer-section-4</text>
    <extLst>
      <x:ext xmlns:xltc2="http://schemas.microsoft.com/office/spreadsheetml/2020/threadedcomments2" uri="{F7C98A9C-CBB3-438F-8F68-D28B6AF4A901}">
        <xltc2:checksum>2184965371</xltc2:checksum>
        <xltc2:hyperlink startIndex="55" length="69" url="https://www.btbtransformers.com/fi/muuntajat/#!/transformer-section-4"/>
      </x:ext>
    </extLst>
  </threadedComment>
  <threadedComment ref="D388" dT="2024-03-19T13:46:55.71" personId="{68FE641C-13D6-414F-A435-AD08A2569DF6}" id="{9C2BD9E6-EF8E-4197-B6B8-CB13425623B6}">
    <text>https://re-tech.fi/wp-content/uploads/2024/03/DT-5020porc.pdf</text>
    <extLst>
      <x:ext xmlns:xltc2="http://schemas.microsoft.com/office/spreadsheetml/2020/threadedcomments2" uri="{F7C98A9C-CBB3-438F-8F68-D28B6AF4A901}">
        <xltc2:checksum>1873516978</xltc2:checksum>
        <xltc2:hyperlink startIndex="0" length="61" url="https://re-tech.fi/wp-content/uploads/2024/03/DT-5020porc.pdf"/>
      </x:ext>
    </extLst>
  </threadedComment>
  <threadedComment ref="D389" dT="2024-03-19T13:48:10.37" personId="{68FE641C-13D6-414F-A435-AD08A2569DF6}" id="{EDD405B8-95A6-4E04-A870-DBA6186D22EA}">
    <text>https://re-tech.fi/wp-content/uploads/2024/03/DT-10020porc.pdf</text>
    <extLst>
      <x:ext xmlns:xltc2="http://schemas.microsoft.com/office/spreadsheetml/2020/threadedcomments2" uri="{F7C98A9C-CBB3-438F-8F68-D28B6AF4A901}">
        <xltc2:checksum>1946593710</xltc2:checksum>
        <xltc2:hyperlink startIndex="0" length="62" url="https://re-tech.fi/wp-content/uploads/2024/03/DT-10020porc.pdf"/>
      </x:ext>
    </extLst>
  </threadedComment>
  <threadedComment ref="D391" dT="2024-03-19T13:48:31.90" personId="{68FE641C-13D6-414F-A435-AD08A2569DF6}" id="{AAF670C6-6CC6-4665-97FF-31E2F57BE7A7}">
    <text>https://re-tech.fi/wp-content/uploads/2024/03/DT-20020porc.pdf</text>
    <extLst>
      <x:ext xmlns:xltc2="http://schemas.microsoft.com/office/spreadsheetml/2020/threadedcomments2" uri="{F7C98A9C-CBB3-438F-8F68-D28B6AF4A901}">
        <xltc2:checksum>382180707</xltc2:checksum>
        <xltc2:hyperlink startIndex="0" length="62" url="https://re-tech.fi/wp-content/uploads/2024/03/DT-20020porc.pdf"/>
      </x:ext>
    </extLst>
  </threadedComment>
  <threadedComment ref="D392" dT="2024-03-19T13:48:54.01" personId="{68FE641C-13D6-414F-A435-AD08A2569DF6}" id="{08B672EE-F039-4406-9715-50BF7365ECFA}">
    <text>https://re-tech.fi/wp-content/uploads/2024/03/DT-31520porc.pdf</text>
    <extLst>
      <x:ext xmlns:xltc2="http://schemas.microsoft.com/office/spreadsheetml/2020/threadedcomments2" uri="{F7C98A9C-CBB3-438F-8F68-D28B6AF4A901}">
        <xltc2:checksum>1591430869</xltc2:checksum>
        <xltc2:hyperlink startIndex="0" length="62" url="https://re-tech.fi/wp-content/uploads/2024/03/DT-31520porc.pdf"/>
      </x:ext>
    </extLst>
  </threadedComment>
  <threadedComment ref="D393" dT="2024-03-19T13:49:14.24" personId="{68FE641C-13D6-414F-A435-AD08A2569DF6}" id="{F4E47470-75AD-4DB1-B8AE-6F61A31A6263}">
    <text>https://re-tech.fi/wp-content/uploads/2024/03/DT-50020porc.pdf</text>
    <extLst>
      <x:ext xmlns:xltc2="http://schemas.microsoft.com/office/spreadsheetml/2020/threadedcomments2" uri="{F7C98A9C-CBB3-438F-8F68-D28B6AF4A901}">
        <xltc2:checksum>4076529474</xltc2:checksum>
        <xltc2:hyperlink startIndex="0" length="62" url="https://re-tech.fi/wp-content/uploads/2024/03/DT-50020porc.pdf"/>
      </x:ext>
    </extLst>
  </threadedComment>
  <threadedComment ref="D395" dT="2024-03-19T13:49:32.05" personId="{68FE641C-13D6-414F-A435-AD08A2569DF6}" id="{E0A1DA41-8367-4B8D-B06A-67F9E741340F}">
    <text>https://re-tech.fi/wp-content/uploads/2024/03/DT-80020porc.pdf</text>
    <extLst>
      <x:ext xmlns:xltc2="http://schemas.microsoft.com/office/spreadsheetml/2020/threadedcomments2" uri="{F7C98A9C-CBB3-438F-8F68-D28B6AF4A901}">
        <xltc2:checksum>1480664930</xltc2:checksum>
        <xltc2:hyperlink startIndex="0" length="62" url="https://re-tech.fi/wp-content/uploads/2024/03/DT-80020porc.pdf"/>
      </x:ext>
    </extLst>
  </threadedComment>
  <threadedComment ref="D396" dT="2024-03-19T13:49:53.59" personId="{68FE641C-13D6-414F-A435-AD08A2569DF6}" id="{DD6CBC97-14A2-407E-B877-4DDD2692593B}">
    <text>https://re-tech.fi/wp-content/uploads/2024/03/DT-100020porc.pdf</text>
    <extLst>
      <x:ext xmlns:xltc2="http://schemas.microsoft.com/office/spreadsheetml/2020/threadedcomments2" uri="{F7C98A9C-CBB3-438F-8F68-D28B6AF4A901}">
        <xltc2:checksum>3270040393</xltc2:checksum>
        <xltc2:hyperlink startIndex="0" length="63" url="https://re-tech.fi/wp-content/uploads/2024/03/DT-100020porc.pdf"/>
      </x:ext>
    </extLst>
  </threadedComment>
  <threadedComment ref="C402" dT="2024-03-13T09:54:26.86" personId="{68FE641C-13D6-414F-A435-AD08A2569DF6}" id="{0E1D2815-A3B8-4F40-93BF-3102320F0B2F}">
    <text>Vertailua muuntajista painojen ja kVA perusteella. Keskiarvoilla lasketut paino ja kVA osuudet (keskiarviot jaettu 50-200, 315-630 ja 800-2000kVA).
Keskiarvot jaettu kolmelle tehoalueelle, koska pienempien muuntajien valmistus on suhteessa ympäristö kuormittavampaa. Tämän huomion näkee EPD:stä kerättyjen tietojen taulukosta.</text>
  </threadedComment>
  <threadedComment ref="E402" dT="2024-02-28T10:37:14.46" personId="{68FE641C-13D6-414F-A435-AD08A2569DF6}" id="{A8076D37-FA8B-4597-8E7B-A6EB637A4C81}">
    <text>Öljyeristeiset jakelumuuntajat BTB
20 kV-sarja Tier1
https://www.btbtransformers.com/fi/muuntajat/#!/transformer-section-4</text>
    <extLst>
      <x:ext xmlns:xltc2="http://schemas.microsoft.com/office/spreadsheetml/2020/threadedcomments2" uri="{F7C98A9C-CBB3-438F-8F68-D28B6AF4A901}">
        <xltc2:checksum>2184965371</xltc2:checksum>
        <xltc2:hyperlink startIndex="55" length="69" url="https://www.btbtransformers.com/fi/muuntajat/#!/transformer-section-4"/>
      </x:ext>
    </extLst>
  </threadedComment>
  <threadedComment ref="C403" dT="2024-03-19T13:28:18.11" personId="{68FE641C-13D6-414F-A435-AD08A2569DF6}" id="{C3B02B00-D33E-4291-9F9F-65E125640832}">
    <text>https://kpower.ru/wp-content/uploads/2021/11/%D0%A2%D1%80%D0%B0%D0%BD%D1%81%D1%84%D0%BE%D1%80%D0%BC%D0%B0%D1%82%D0%BE%D1%80-SE-Minera-EcoDesign.pdf</text>
    <extLst>
      <x:ext xmlns:xltc2="http://schemas.microsoft.com/office/spreadsheetml/2020/threadedcomments2" uri="{F7C98A9C-CBB3-438F-8F68-D28B6AF4A901}">
        <xltc2:checksum>4002435538</xltc2:checksum>
        <xltc2:hyperlink startIndex="0" length="147" url="https://kpower.ru/wp-content/uploads/2021/11/%D0%A2%D1%80%D0%B0%D0%BD%D1%81%D1%84%D0%BE%D1%80%D0%BC%D0%B0%D1%82%D0%BE%D1%80-SE-Minera-EcoDesign.pdf"/>
      </x:ext>
    </extLst>
  </threadedComment>
  <threadedComment ref="C418" dT="2024-03-13T09:54:26.86" personId="{68FE641C-13D6-414F-A435-AD08A2569DF6}" id="{3D3CE3E5-F9E4-42D3-A397-DBEF2CDC8BAF}">
    <text>Vertailua muuntajista painojen ja kVA perusteella. Keskiarvoilla lasketut paino ja kVA osuudet (keskiarviot jaettu 50-200, 315-630 ja 800-2000kVA).
Keskiarvot jaettu kolmelle tehoalueelle, koska pienempien muuntajien valmistus on suhteessa ympäristö kuormittavampaa. Tämän huomion näkee EPD:stä kerättyjen tietojen taulukosta.</text>
  </threadedComment>
  <threadedComment ref="E418" dT="2024-02-28T10:37:14.46" personId="{68FE641C-13D6-414F-A435-AD08A2569DF6}" id="{CDDE684B-7E73-4519-952E-2445ED90DAE6}">
    <text>Öljyeristeiset jakelumuuntajat BTB
20 kV-sarja Tier1
https://www.btbtransformers.com/fi/muuntajat/#!/transformer-section-4</text>
    <extLst>
      <x:ext xmlns:xltc2="http://schemas.microsoft.com/office/spreadsheetml/2020/threadedcomments2" uri="{F7C98A9C-CBB3-438F-8F68-D28B6AF4A901}">
        <xltc2:checksum>2184965371</xltc2:checksum>
        <xltc2:hyperlink startIndex="55" length="69" url="https://www.btbtransformers.com/fi/muuntajat/#!/transformer-section-4"/>
      </x:ext>
    </extLst>
  </threadedComment>
  <threadedComment ref="C419" dT="2024-03-13T09:42:17.45" personId="{68FE641C-13D6-414F-A435-AD08A2569DF6}" id="{E9BFCF21-0172-42F2-972D-6F6DAE316C15}">
    <text xml:space="preserve">Öljyeristeiset jakelumuuntajat BTB
20 kV-sarja Tier1
https://www.btbtransformers.com/fi/muuntajat/#!/transformer-section-4
</text>
    <extLst>
      <x:ext xmlns:xltc2="http://schemas.microsoft.com/office/spreadsheetml/2020/threadedcomments2" uri="{F7C98A9C-CBB3-438F-8F68-D28B6AF4A901}">
        <xltc2:checksum>3970556825</xltc2:checksum>
        <xltc2:hyperlink startIndex="55" length="69" url="https://www.btbtransformers.com/fi/muuntajat/#!/transformer-section-4"/>
      </x:ext>
    </extLst>
  </threadedComment>
  <threadedComment ref="C434" dT="2024-03-11T12:18:40.20" personId="{68FE641C-13D6-414F-A435-AD08A2569DF6}" id="{3DBF1155-2536-44F2-BDC9-F01BC154B39B}">
    <text>https://www.epditaly.it/en/wp-content/uploads/2016/12/EPD_Netwon_110082_2023-03-03.pdf</text>
    <extLst>
      <x:ext xmlns:xltc2="http://schemas.microsoft.com/office/spreadsheetml/2020/threadedcomments2" uri="{F7C98A9C-CBB3-438F-8F68-D28B6AF4A901}">
        <xltc2:checksum>2022319700</xltc2:checksum>
        <xltc2:hyperlink startIndex="0" length="86" url="https://www.epditaly.it/en/wp-content/uploads/2016/12/EPD_Netwon_110082_2023-03-03.pdf"/>
      </x:ext>
    </extLst>
  </threadedComment>
  <threadedComment ref="C435" dT="2024-03-11T12:29:48.64" personId="{68FE641C-13D6-414F-A435-AD08A2569DF6}" id="{6C483EB5-6920-4631-A2C8-A92014C6FB67}">
    <text>https://www.epditaly.it/en/wp-content/uploads/2016/12/EPD_Netwon-TFN_EPDITALY0586_def.pdf</text>
    <extLst>
      <x:ext xmlns:xltc2="http://schemas.microsoft.com/office/spreadsheetml/2020/threadedcomments2" uri="{F7C98A9C-CBB3-438F-8F68-D28B6AF4A901}">
        <xltc2:checksum>3291256863</xltc2:checksum>
        <xltc2:hyperlink startIndex="0" length="89" url="https://www.epditaly.it/en/wp-content/uploads/2016/12/EPD_Netwon-TFN_EPDITALY0586_def.pdf"/>
      </x:ext>
    </extLst>
  </threadedComment>
  <threadedComment ref="C436" dT="2024-03-11T12:34:13.45" personId="{68FE641C-13D6-414F-A435-AD08A2569DF6}" id="{14C15E1A-EC9F-4B31-8B32-26F16E5F11AF}">
    <text>https://www.epditaly.it/en/wp-content/uploads/2016/12/EPDITALY0491-Hitachi-04.01.2023.pdf</text>
    <extLst>
      <x:ext xmlns:xltc2="http://schemas.microsoft.com/office/spreadsheetml/2020/threadedcomments2" uri="{F7C98A9C-CBB3-438F-8F68-D28B6AF4A901}">
        <xltc2:checksum>1521915393</xltc2:checksum>
        <xltc2:hyperlink startIndex="0" length="89" url="https://www.epditaly.it/en/wp-content/uploads/2016/12/EPDITALY0491-Hitachi-04.01.2023.pdf"/>
      </x:ext>
    </extLst>
  </threadedComment>
  <threadedComment ref="C437" dT="2024-03-11T12:34:13.45" personId="{68FE641C-13D6-414F-A435-AD08A2569DF6}" id="{21CCE721-D817-46B0-A700-DA5A17478B96}">
    <text>https://www.epditaly.it/en/wp-content/uploads/2016/12/EPDITALY0491-Hitachi-04.01.2023.pdf</text>
    <extLst>
      <x:ext xmlns:xltc2="http://schemas.microsoft.com/office/spreadsheetml/2020/threadedcomments2" uri="{F7C98A9C-CBB3-438F-8F68-D28B6AF4A901}">
        <xltc2:checksum>1521915393</xltc2:checksum>
        <xltc2:hyperlink startIndex="0" length="89" url="https://www.epditaly.it/en/wp-content/uploads/2016/12/EPDITALY0491-Hitachi-04.01.2023.pdf"/>
      </x:ext>
    </extLst>
  </threadedComment>
  <threadedComment ref="C438" dT="2024-03-11T12:45:50.54" personId="{68FE641C-13D6-414F-A435-AD08A2569DF6}" id="{2977CFAB-084E-4D88-917B-FC9B6E591289}">
    <text>https://www.epditaly.it/en/wp-content/uploads/2016/12/EPD-COTRADIS-400kva_v7-1.pdf</text>
    <extLst>
      <x:ext xmlns:xltc2="http://schemas.microsoft.com/office/spreadsheetml/2020/threadedcomments2" uri="{F7C98A9C-CBB3-438F-8F68-D28B6AF4A901}">
        <xltc2:checksum>542944066</xltc2:checksum>
        <xltc2:hyperlink startIndex="0" length="82" url="https://www.epditaly.it/en/wp-content/uploads/2016/12/EPD-COTRADIS-400kva_v7-1.pdf"/>
      </x:ext>
    </extLst>
  </threadedComment>
  <threadedComment ref="C439" dT="2024-03-11T12:53:26.51" personId="{68FE641C-13D6-414F-A435-AD08A2569DF6}" id="{0E8D89E0-8D10-4AE2-89BC-340E7EBF1C2B}">
    <text>https://www.epditaly.it/en/wp-content/uploads/2016/12/EPD-COTRADIS-630kva_v7-1.pdf</text>
    <extLst>
      <x:ext xmlns:xltc2="http://schemas.microsoft.com/office/spreadsheetml/2020/threadedcomments2" uri="{F7C98A9C-CBB3-438F-8F68-D28B6AF4A901}">
        <xltc2:checksum>401744473</xltc2:checksum>
        <xltc2:hyperlink startIndex="0" length="82" url="https://www.epditaly.it/en/wp-content/uploads/2016/12/EPD-COTRADIS-630kva_v7-1.pdf"/>
      </x:ext>
    </extLst>
  </threadedComment>
  <threadedComment ref="C440" dT="2024-03-11T12:55:31.76" personId="{68FE641C-13D6-414F-A435-AD08A2569DF6}" id="{BEF87C97-C718-460E-93F7-42B63C39AD60}">
    <text>https://www.epditaly.it/en/wp-content/uploads/2016/12/EPD_1000-kVA_October_Final.pdf</text>
    <extLst>
      <x:ext xmlns:xltc2="http://schemas.microsoft.com/office/spreadsheetml/2020/threadedcomments2" uri="{F7C98A9C-CBB3-438F-8F68-D28B6AF4A901}">
        <xltc2:checksum>1061576027</xltc2:checksum>
        <xltc2:hyperlink startIndex="0" length="84" url="https://www.epditaly.it/en/wp-content/uploads/2016/12/EPD_1000-kVA_October_Final.pdf"/>
      </x:ext>
    </extLst>
  </threadedComment>
  <threadedComment ref="C441" dT="2024-03-11T12:59:14.35" personId="{68FE641C-13D6-414F-A435-AD08A2569DF6}" id="{0BE6E32C-3355-42BC-94CD-0A77F59CC604}">
    <text>https://www.epditaly.it/en/wp-content/uploads/2016/12/EPD_630-kVA_October_Final.pdf</text>
    <extLst>
      <x:ext xmlns:xltc2="http://schemas.microsoft.com/office/spreadsheetml/2020/threadedcomments2" uri="{F7C98A9C-CBB3-438F-8F68-D28B6AF4A901}">
        <xltc2:checksum>3253264825</xltc2:checksum>
        <xltc2:hyperlink startIndex="0" length="83" url="https://www.epditaly.it/en/wp-content/uploads/2016/12/EPD_630-kVA_October_Final.pdf"/>
      </x:ext>
    </extLst>
  </threadedComment>
  <threadedComment ref="C442" dT="2024-03-11T13:00:41.06" personId="{68FE641C-13D6-414F-A435-AD08A2569DF6}" id="{28F44C24-88AF-4C2F-9512-C647966FF5A6}">
    <text>https://www.epditaly.it/en/wp-content/uploads/2016/12/EPD_400-kVA_October_Final-1.pdf</text>
    <extLst>
      <x:ext xmlns:xltc2="http://schemas.microsoft.com/office/spreadsheetml/2020/threadedcomments2" uri="{F7C98A9C-CBB3-438F-8F68-D28B6AF4A901}">
        <xltc2:checksum>3356476406</xltc2:checksum>
        <xltc2:hyperlink startIndex="0" length="85" url="https://www.epditaly.it/en/wp-content/uploads/2016/12/EPD_400-kVA_October_Final-1.pdf"/>
      </x:ext>
    </extLst>
  </threadedComment>
  <threadedComment ref="C443" dT="2024-03-11T13:18:38.13" personId="{68FE641C-13D6-414F-A435-AD08A2569DF6}" id="{453BA425-FF50-488F-A895-C25BF711C806}">
    <text>https://www.epditaly.it/en/wp-content/uploads/2016/12/EPD_250-kVA_October_Final.pdf</text>
    <extLst>
      <x:ext xmlns:xltc2="http://schemas.microsoft.com/office/spreadsheetml/2020/threadedcomments2" uri="{F7C98A9C-CBB3-438F-8F68-D28B6AF4A901}">
        <xltc2:checksum>1507424846</xltc2:checksum>
        <xltc2:hyperlink startIndex="0" length="83" url="https://www.epditaly.it/en/wp-content/uploads/2016/12/EPD_250-kVA_October_Final.pdf"/>
      </x:ext>
    </extLst>
  </threadedComment>
  <threadedComment ref="C444" dT="2024-03-11T13:18:42.86" personId="{68FE641C-13D6-414F-A435-AD08A2569DF6}" id="{4BF6EB4D-BA08-40ED-9C1F-67900F06993C}">
    <text>https://www.epditaly.it/en/wp-content/uploads/2016/12/EPD_IMEFY_630KVA_2000KVA-1.pdf</text>
    <extLst>
      <x:ext xmlns:xltc2="http://schemas.microsoft.com/office/spreadsheetml/2020/threadedcomments2" uri="{F7C98A9C-CBB3-438F-8F68-D28B6AF4A901}">
        <xltc2:checksum>3904353690</xltc2:checksum>
        <xltc2:hyperlink startIndex="0" length="84" url="https://www.epditaly.it/en/wp-content/uploads/2016/12/EPD_IMEFY_630KVA_2000KVA-1.pdf"/>
      </x:ext>
    </extLst>
  </threadedComment>
  <threadedComment ref="C445" dT="2024-03-11T13:18:42.86" personId="{68FE641C-13D6-414F-A435-AD08A2569DF6}" id="{746B93F3-604D-46D9-BA27-79C7DF85AB40}">
    <text>https://www.epditaly.it/en/wp-content/uploads/2016/12/EPD_IMEFY_630KVA_2000KVA-1.pdf</text>
    <extLst>
      <x:ext xmlns:xltc2="http://schemas.microsoft.com/office/spreadsheetml/2020/threadedcomments2" uri="{F7C98A9C-CBB3-438F-8F68-D28B6AF4A901}">
        <xltc2:checksum>3904353690</xltc2:checksum>
        <xltc2:hyperlink startIndex="0" length="84" url="https://www.epditaly.it/en/wp-content/uploads/2016/12/EPD_IMEFY_630KVA_2000KVA-1.pdf"/>
      </x:ext>
    </extLst>
  </threadedComment>
  <threadedComment ref="C446" dT="2024-03-11T13:18:42.86" personId="{68FE641C-13D6-414F-A435-AD08A2569DF6}" id="{884BD432-2A26-4E01-9F68-2FACAD2448F3}">
    <text>https://www.epditaly.it/en/wp-content/uploads/2016/12/EPD_IMEFY_630KVA_2000KVA-1.pdf</text>
    <extLst>
      <x:ext xmlns:xltc2="http://schemas.microsoft.com/office/spreadsheetml/2020/threadedcomments2" uri="{F7C98A9C-CBB3-438F-8F68-D28B6AF4A901}">
        <xltc2:checksum>3904353690</xltc2:checksum>
        <xltc2:hyperlink startIndex="0" length="84" url="https://www.epditaly.it/en/wp-content/uploads/2016/12/EPD_IMEFY_630KVA_2000KVA-1.pdf"/>
      </x:ext>
    </extLst>
  </threadedComment>
  <threadedComment ref="C447" dT="2024-03-11T13:18:42.86" personId="{68FE641C-13D6-414F-A435-AD08A2569DF6}" id="{A886C7D2-4616-497E-878E-DDACC0E8DC10}">
    <text>https://www.epditaly.it/en/wp-content/uploads/2016/12/EPD_IMEFY_630KVA_2000KVA-1.pdf</text>
    <extLst>
      <x:ext xmlns:xltc2="http://schemas.microsoft.com/office/spreadsheetml/2020/threadedcomments2" uri="{F7C98A9C-CBB3-438F-8F68-D28B6AF4A901}">
        <xltc2:checksum>3904353690</xltc2:checksum>
        <xltc2:hyperlink startIndex="0" length="84" url="https://www.epditaly.it/en/wp-content/uploads/2016/12/EPD_IMEFY_630KVA_2000KVA-1.pdf"/>
      </x:ext>
    </extLst>
  </threadedComment>
  <threadedComment ref="C448" dT="2024-03-11T13:18:42.86" personId="{68FE641C-13D6-414F-A435-AD08A2569DF6}" id="{32D2D53C-310B-4104-825E-7C00954A8D36}">
    <text>https://www.epditaly.it/en/wp-content/uploads/2016/12/EPD_IMEFY_630KVA_2000KVA-1.pdf</text>
    <extLst>
      <x:ext xmlns:xltc2="http://schemas.microsoft.com/office/spreadsheetml/2020/threadedcomments2" uri="{F7C98A9C-CBB3-438F-8F68-D28B6AF4A901}">
        <xltc2:checksum>3904353690</xltc2:checksum>
        <xltc2:hyperlink startIndex="0" length="84" url="https://www.epditaly.it/en/wp-content/uploads/2016/12/EPD_IMEFY_630KVA_2000KVA-1.pdf"/>
      </x:ext>
    </extLst>
  </threadedComment>
  <threadedComment ref="C449" dT="2024-03-11T13:28:36.21" personId="{68FE641C-13D6-414F-A435-AD08A2569DF6}" id="{F938EF95-E0F3-4D2E-9C7B-C67922C90131}">
    <text>https://www.epditaly.it/en/wp-content/uploads/2016/12/EPD_IMEFY_50KVA_400KVA-1.pdf</text>
    <extLst>
      <x:ext xmlns:xltc2="http://schemas.microsoft.com/office/spreadsheetml/2020/threadedcomments2" uri="{F7C98A9C-CBB3-438F-8F68-D28B6AF4A901}">
        <xltc2:checksum>3372415115</xltc2:checksum>
        <xltc2:hyperlink startIndex="0" length="82" url="https://www.epditaly.it/en/wp-content/uploads/2016/12/EPD_IMEFY_50KVA_400KVA-1.pdf"/>
      </x:ext>
    </extLst>
  </threadedComment>
  <threadedComment ref="C450" dT="2024-03-11T13:28:36.21" personId="{68FE641C-13D6-414F-A435-AD08A2569DF6}" id="{6BC562B1-20B2-4167-8C72-F4FE9E7A1CF5}">
    <text>https://www.epditaly.it/en/wp-content/uploads/2016/12/EPD_IMEFY_50KVA_400KVA-1.pdf</text>
    <extLst>
      <x:ext xmlns:xltc2="http://schemas.microsoft.com/office/spreadsheetml/2020/threadedcomments2" uri="{F7C98A9C-CBB3-438F-8F68-D28B6AF4A901}">
        <xltc2:checksum>3372415115</xltc2:checksum>
        <xltc2:hyperlink startIndex="0" length="82" url="https://www.epditaly.it/en/wp-content/uploads/2016/12/EPD_IMEFY_50KVA_400KVA-1.pdf"/>
      </x:ext>
    </extLst>
  </threadedComment>
  <threadedComment ref="C451" dT="2024-03-11T13:28:36.21" personId="{68FE641C-13D6-414F-A435-AD08A2569DF6}" id="{75A24DC5-44AC-4359-8D6D-2A7728175112}">
    <text>https://www.epditaly.it/en/wp-content/uploads/2016/12/EPD_IMEFY_50KVA_400KVA-1.pdf</text>
    <extLst>
      <x:ext xmlns:xltc2="http://schemas.microsoft.com/office/spreadsheetml/2020/threadedcomments2" uri="{F7C98A9C-CBB3-438F-8F68-D28B6AF4A901}">
        <xltc2:checksum>3372415115</xltc2:checksum>
        <xltc2:hyperlink startIndex="0" length="82" url="https://www.epditaly.it/en/wp-content/uploads/2016/12/EPD_IMEFY_50KVA_400KVA-1.pdf"/>
      </x:ext>
    </extLst>
  </threadedComment>
  <threadedComment ref="C452" dT="2024-03-11T13:28:36.21" personId="{68FE641C-13D6-414F-A435-AD08A2569DF6}" id="{01254F56-E861-4C81-BB0C-0AEF2B39CC14}">
    <text>https://www.epditaly.it/en/wp-content/uploads/2016/12/EPD_IMEFY_50KVA_400KVA-1.pdf</text>
    <extLst>
      <x:ext xmlns:xltc2="http://schemas.microsoft.com/office/spreadsheetml/2020/threadedcomments2" uri="{F7C98A9C-CBB3-438F-8F68-D28B6AF4A901}">
        <xltc2:checksum>3372415115</xltc2:checksum>
        <xltc2:hyperlink startIndex="0" length="82" url="https://www.epditaly.it/en/wp-content/uploads/2016/12/EPD_IMEFY_50KVA_400KVA-1.pdf"/>
      </x:ext>
    </extLst>
  </threadedComment>
  <threadedComment ref="C453" dT="2024-03-11T13:28:36.21" personId="{68FE641C-13D6-414F-A435-AD08A2569DF6}" id="{022C5849-0DAA-4402-9EFA-1506E62ED5B1}">
    <text>https://www.epditaly.it/en/wp-content/uploads/2016/12/EPD_IMEFY_50KVA_400KVA-1.pdf</text>
    <extLst>
      <x:ext xmlns:xltc2="http://schemas.microsoft.com/office/spreadsheetml/2020/threadedcomments2" uri="{F7C98A9C-CBB3-438F-8F68-D28B6AF4A901}">
        <xltc2:checksum>3372415115</xltc2:checksum>
        <xltc2:hyperlink startIndex="0" length="82" url="https://www.epditaly.it/en/wp-content/uploads/2016/12/EPD_IMEFY_50KVA_400KVA-1.pdf"/>
      </x:ext>
    </extLst>
  </threadedComment>
  <threadedComment ref="C454" dT="2024-03-11T13:37:09.09" personId="{68FE641C-13D6-414F-A435-AD08A2569DF6}" id="{6AFF14F6-76F2-42E0-8318-7411B99C3F6B}">
    <text>https://www.epditaly.it/en/wp-content/uploads/2016/12/MECA_Dichiarazione-ambientale-di-prodotto_2023_Rev.-del-04.08.2023.pdf</text>
    <extLst>
      <x:ext xmlns:xltc2="http://schemas.microsoft.com/office/spreadsheetml/2020/threadedcomments2" uri="{F7C98A9C-CBB3-438F-8F68-D28B6AF4A901}">
        <xltc2:checksum>920133489</xltc2:checksum>
        <xltc2:hyperlink startIndex="0" length="124" url="https://www.epditaly.it/en/wp-content/uploads/2016/12/MECA_Dichiarazione-ambientale-di-prodotto_2023_Rev.-del-04.08.2023.pdf"/>
      </x:ext>
    </extLst>
  </threadedComment>
  <threadedComment ref="C455" dT="2024-03-11T13:37:09.09" personId="{68FE641C-13D6-414F-A435-AD08A2569DF6}" id="{8A7F4773-0322-4258-ABDA-7EF47AC8B255}">
    <text>https://www.epditaly.it/en/wp-content/uploads/2016/12/MECA_Dichiarazione-ambientale-di-prodotto_2023_Rev.-del-04.08.2023.pdf</text>
    <extLst>
      <x:ext xmlns:xltc2="http://schemas.microsoft.com/office/spreadsheetml/2020/threadedcomments2" uri="{F7C98A9C-CBB3-438F-8F68-D28B6AF4A901}">
        <xltc2:checksum>920133489</xltc2:checksum>
        <xltc2:hyperlink startIndex="0" length="124" url="https://www.epditaly.it/en/wp-content/uploads/2016/12/MECA_Dichiarazione-ambientale-di-prodotto_2023_Rev.-del-04.08.2023.pdf"/>
      </x:ext>
    </extLst>
  </threadedComment>
  <threadedComment ref="C456" dT="2024-03-11T13:44:16.51" personId="{68FE641C-13D6-414F-A435-AD08A2569DF6}" id="{F61BF9EE-2D82-4F2F-A3CC-1CB5F24236F6}">
    <text>https://www.epditaly.it/en/wp-content/uploads/2016/12/EPD_SiemensSE_DB_001_800kVA-22-02-2022.pdf</text>
    <extLst>
      <x:ext xmlns:xltc2="http://schemas.microsoft.com/office/spreadsheetml/2020/threadedcomments2" uri="{F7C98A9C-CBB3-438F-8F68-D28B6AF4A901}">
        <xltc2:checksum>2296044409</xltc2:checksum>
        <xltc2:hyperlink startIndex="0" length="96" url="https://www.epditaly.it/en/wp-content/uploads/2016/12/EPD_SiemensSE_DB_001_800kVA-22-02-2022.pdf"/>
      </x:ext>
    </extLst>
  </threadedComment>
  <threadedComment ref="C457" dT="2024-03-11T13:51:58.68" personId="{68FE641C-13D6-414F-A435-AD08A2569DF6}" id="{7006257D-6D0F-4D7C-B194-9F297B696E37}">
    <text xml:space="preserve">https://www.epditaly.it/en/wp-content/uploads/2016/12/EPD_SE_DB_002_1000kVA-31-03-2022.pdf
</text>
    <extLst>
      <x:ext xmlns:xltc2="http://schemas.microsoft.com/office/spreadsheetml/2020/threadedcomments2" uri="{F7C98A9C-CBB3-438F-8F68-D28B6AF4A901}">
        <xltc2:checksum>1150035552</xltc2:checksum>
        <xltc2:hyperlink startIndex="0" length="90" url="https://www.epditaly.it/en/wp-content/uploads/2016/12/EPD_SE_DB_002_1000kVA-31-03-2022.pdf"/>
      </x:ext>
    </extLst>
  </threadedComment>
  <threadedComment ref="C458" dT="2024-03-11T13:52:18.90" personId="{68FE641C-13D6-414F-A435-AD08A2569DF6}" id="{8EBDDDE1-BCD4-434E-8E78-D68CB54A1AFC}">
    <text>https://www.epditaly.it/en/wp-content/uploads/2016/12/EPD_SE_DB_003_400kVA-31-03-2022.pdf</text>
    <extLst>
      <x:ext xmlns:xltc2="http://schemas.microsoft.com/office/spreadsheetml/2020/threadedcomments2" uri="{F7C98A9C-CBB3-438F-8F68-D28B6AF4A901}">
        <xltc2:checksum>1629715695</xltc2:checksum>
        <xltc2:hyperlink startIndex="0" length="89" url="https://www.epditaly.it/en/wp-content/uploads/2016/12/EPD_SE_DB_003_400kVA-31-03-2022.pdf"/>
      </x:ext>
    </extLst>
  </threadedComment>
  <threadedComment ref="C459" dT="2024-03-11T13:53:35.71" personId="{68FE641C-13D6-414F-A435-AD08A2569DF6}" id="{10693F73-EB5C-41E6-8BC6-8D25892534A8}">
    <text>https://www.epditaly.it/en/wp-content/uploads/2016/12/EPD_SE_DB_004_630kVA-31-03-2022.pdf</text>
    <extLst>
      <x:ext xmlns:xltc2="http://schemas.microsoft.com/office/spreadsheetml/2020/threadedcomments2" uri="{F7C98A9C-CBB3-438F-8F68-D28B6AF4A901}">
        <xltc2:checksum>993052120</xltc2:checksum>
        <xltc2:hyperlink startIndex="0" length="89" url="https://www.epditaly.it/en/wp-content/uploads/2016/12/EPD_SE_DB_004_630kVA-31-03-2022.pdf"/>
      </x:ext>
    </extLst>
  </threadedComment>
  <threadedComment ref="C460" dT="2024-03-11T13:55:29.67" personId="{68FE641C-13D6-414F-A435-AD08A2569DF6}" id="{C1B1C941-F4DF-45A7-973F-337892A2D84F}">
    <text>https://www.epditaly.it/en/wp-content/uploads/2016/12/EPD_SE_DB_005_250kVA-31-03-2022.pdf</text>
    <extLst>
      <x:ext xmlns:xltc2="http://schemas.microsoft.com/office/spreadsheetml/2020/threadedcomments2" uri="{F7C98A9C-CBB3-438F-8F68-D28B6AF4A901}">
        <xltc2:checksum>3972173090</xltc2:checksum>
        <xltc2:hyperlink startIndex="0" length="89" url="https://www.epditaly.it/en/wp-content/uploads/2016/12/EPD_SE_DB_005_250kVA-31-03-2022.pdf"/>
      </x:ext>
    </extLst>
  </threadedComment>
  <threadedComment ref="C473" dT="2024-11-27T08:49:43.95" personId="{68FE641C-13D6-414F-A435-AD08A2569DF6}" id="{F41F82DB-9C41-49F4-84C1-BE9C7A39D83F}">
    <text>https://www.onninen.fi/sahko/57-kondensaattorit-ja-jakelumuuntajat/c/589?filter=ETIM_EF003775%3D1.0%20kV&amp;sort=_score&amp;order=DESC</text>
    <extLst>
      <x:ext xmlns:xltc2="http://schemas.microsoft.com/office/spreadsheetml/2020/threadedcomments2" uri="{F7C98A9C-CBB3-438F-8F68-D28B6AF4A901}">
        <xltc2:checksum>3860067527</xltc2:checksum>
        <xltc2:hyperlink startIndex="0" length="127" url="https://www.onninen.fi/sahko/57-kondensaattorit-ja-jakelumuuntajat/c/589?filter=ETIM_EF003775%3D1.0%20kV&amp;sort=_score&amp;order=DESC"/>
      </x:ext>
    </extLst>
  </threadedComment>
  <threadedComment ref="E474" dT="2024-11-27T08:51:49.74" personId="{68FE641C-13D6-414F-A435-AD08A2569DF6}" id="{863FA541-A320-48AC-B309-25C79D09B70F}">
    <text xml:space="preserve">https://www.onninen.fi/green-transfo-jakelumuuntaja-sphera-dt-t2-30-kva-1-0-4/p/CNC669
</text>
    <extLst>
      <x:ext xmlns:xltc2="http://schemas.microsoft.com/office/spreadsheetml/2020/threadedcomments2" uri="{F7C98A9C-CBB3-438F-8F68-D28B6AF4A901}">
        <xltc2:checksum>476545604</xltc2:checksum>
        <xltc2:hyperlink startIndex="0" length="86" url="https://www.onninen.fi/green-transfo-jakelumuuntaja-sphera-dt-t2-30-kva-1-0-4/p/CNC669"/>
      </x:ext>
    </extLst>
  </threadedComment>
  <threadedComment ref="E475" dT="2024-11-27T08:51:33.51" personId="{68FE641C-13D6-414F-A435-AD08A2569DF6}" id="{4E865203-0B8C-44BF-AB9F-DBD0E0B7ACC8}">
    <text xml:space="preserve">https://www.onninen.fi/green-transfo-jakelumuuntaja-sphera-dt-t2-50-kva-1-0-4/p/CNC665
</text>
    <extLst>
      <x:ext xmlns:xltc2="http://schemas.microsoft.com/office/spreadsheetml/2020/threadedcomments2" uri="{F7C98A9C-CBB3-438F-8F68-D28B6AF4A901}">
        <xltc2:checksum>2348826786</xltc2:checksum>
        <xltc2:hyperlink startIndex="0" length="86" url="https://www.onninen.fi/green-transfo-jakelumuuntaja-sphera-dt-t2-50-kva-1-0-4/p/CNC665"/>
      </x:ext>
    </extLst>
  </threadedComment>
  <threadedComment ref="E476" dT="2024-11-27T08:52:12.60" personId="{68FE641C-13D6-414F-A435-AD08A2569DF6}" id="{1AF285E5-9A6C-460A-BE1D-8A01FA1950B4}">
    <text>https://www.onninen.fi/green-transfo-jakelumuuntaja-sphera-dt-t2-100-kva-1-0-4/p/CNC664</text>
    <extLst>
      <x:ext xmlns:xltc2="http://schemas.microsoft.com/office/spreadsheetml/2020/threadedcomments2" uri="{F7C98A9C-CBB3-438F-8F68-D28B6AF4A901}">
        <xltc2:checksum>4286347830</xltc2:checksum>
        <xltc2:hyperlink startIndex="0" length="87" url="https://www.onninen.fi/green-transfo-jakelumuuntaja-sphera-dt-t2-100-kva-1-0-4/p/CNC664"/>
      </x:ext>
    </extLst>
  </threadedComment>
  <threadedComment ref="C479" dT="2025-04-02T11:21:01.44" personId="{68FE641C-13D6-414F-A435-AD08A2569DF6}" id="{393610B3-0201-425D-A84B-B1C22EB57174}">
    <text>https://www.onninen.fi/schneider-electric-jakelumuuntaja-sch-1000kva-20-10kv-plug/p/ATG852</text>
    <extLst>
      <x:ext xmlns:xltc2="http://schemas.microsoft.com/office/spreadsheetml/2020/threadedcomments2" uri="{F7C98A9C-CBB3-438F-8F68-D28B6AF4A901}">
        <xltc2:checksum>3871249121</xltc2:checksum>
        <xltc2:hyperlink startIndex="0" length="90" url="https://www.onninen.fi/schneider-electric-jakelumuuntaja-sch-1000kva-20-10kv-plug/p/ATG852"/>
      </x:ext>
    </extLst>
  </threadedComment>
  <threadedComment ref="E487" dT="2024-08-08T08:44:28.48" personId="{68FE641C-13D6-414F-A435-AD08A2569DF6}" id="{509744E1-EAB8-4750-808F-396E21D22D8E}">
    <text>https://www.ensto.com/fi/sahkoverkonrakennus/tuotteet/keskijanniteratkaisut-ja-verkostoautomaatio/ilmajohtotarvikkeet/orret/sh70/</text>
    <extLst>
      <x:ext xmlns:xltc2="http://schemas.microsoft.com/office/spreadsheetml/2020/threadedcomments2" uri="{F7C98A9C-CBB3-438F-8F68-D28B6AF4A901}">
        <xltc2:checksum>2266951151</xltc2:checksum>
        <xltc2:hyperlink startIndex="0" length="129" url="https://www.ensto.com/fi/sahkoverkonrakennus/tuotteet/keskijanniteratkaisut-ja-verkostoautomaatio/ilmajohtotarvikkeet/orret/sh70/"/>
      </x:ext>
    </extLst>
  </threadedComment>
  <threadedComment ref="G487" dT="2024-06-28T10:09:14.63" personId="{68FE641C-13D6-414F-A435-AD08A2569DF6}" id="{BE8D7251-B276-4E72-861B-8A7ED9AF1C65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3230340062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488" dT="2024-08-08T05:38:51.16" personId="{68FE641C-13D6-414F-A435-AD08A2569DF6}" id="{E2B32436-3992-4E81-9AEA-E040BEFFE683}">
    <text>https://www.sahkonumerot.fi/5020787</text>
    <extLst>
      <x:ext xmlns:xltc2="http://schemas.microsoft.com/office/spreadsheetml/2020/threadedcomments2" uri="{F7C98A9C-CBB3-438F-8F68-D28B6AF4A901}">
        <xltc2:checksum>1606077202</xltc2:checksum>
        <xltc2:hyperlink startIndex="0" length="35" url="https://www.sahkonumerot.fi/5020787"/>
      </x:ext>
    </extLst>
  </threadedComment>
  <threadedComment ref="G488" dT="2024-06-28T10:09:14.63" personId="{68FE641C-13D6-414F-A435-AD08A2569DF6}" id="{02F093D3-AC57-4BEE-A7EE-97CE78581BE4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3230340062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489" dT="2024-06-28T09:25:41.74" personId="{68FE641C-13D6-414F-A435-AD08A2569DF6}" id="{CB7755CD-A54E-44DF-9EC8-FE86310654DC}">
    <text>https://www.onninen.fi/ensto-tappieristin-sdi-37-24kv-vetoholkilla/p/AAK119</text>
    <extLst>
      <x:ext xmlns:xltc2="http://schemas.microsoft.com/office/spreadsheetml/2020/threadedcomments2" uri="{F7C98A9C-CBB3-438F-8F68-D28B6AF4A901}">
        <xltc2:checksum>2394639130</xltc2:checksum>
        <xltc2:hyperlink startIndex="0" length="75" url="https://www.onninen.fi/ensto-tappieristin-sdi-37-24kv-vetoholkilla/p/AAK119"/>
      </x:ext>
    </extLst>
  </threadedComment>
  <threadedComment ref="G489" dT="2024-06-24T08:08:40.27" personId="{68FE641C-13D6-414F-A435-AD08A2569DF6}" id="{C3C949BA-ED5F-4643-8E34-71F3C4D25471}">
    <text>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ext>
    <extLst>
      <x:ext xmlns:xltc2="http://schemas.microsoft.com/office/spreadsheetml/2020/threadedcomments2" uri="{F7C98A9C-CBB3-438F-8F68-D28B6AF4A901}">
        <xltc2:checksum>2887270234</xltc2:checksum>
        <xltc2:hyperlink startIndex="243" length="81" url="https://www.climatiq.io/data/emission-factor/9f2508be-4752-42be-84cc-09406ec2057e"/>
      </x:ext>
    </extLst>
  </threadedComment>
  <threadedComment ref="E497" dT="2024-08-08T08:44:28.48" personId="{68FE641C-13D6-414F-A435-AD08A2569DF6}" id="{DE310EBF-7D41-45AE-BB6A-27611EDDCCBE}">
    <text>https://www.ensto.com/fi/sahkoverkonrakennus/tuotteet/keskijanniteratkaisut-ja-verkostoautomaatio/ilmajohtotarvikkeet/orret/sh70/</text>
    <extLst>
      <x:ext xmlns:xltc2="http://schemas.microsoft.com/office/spreadsheetml/2020/threadedcomments2" uri="{F7C98A9C-CBB3-438F-8F68-D28B6AF4A901}">
        <xltc2:checksum>2266951151</xltc2:checksum>
        <xltc2:hyperlink startIndex="0" length="129" url="https://www.ensto.com/fi/sahkoverkonrakennus/tuotteet/keskijanniteratkaisut-ja-verkostoautomaatio/ilmajohtotarvikkeet/orret/sh70/"/>
      </x:ext>
    </extLst>
  </threadedComment>
  <threadedComment ref="G497" dT="2024-06-28T10:09:14.63" personId="{68FE641C-13D6-414F-A435-AD08A2569DF6}" id="{D5EAB486-0F16-49FF-A426-CF9DECEAD756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3230340062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498" dT="2024-08-08T05:42:21.21" personId="{68FE641C-13D6-414F-A435-AD08A2569DF6}" id="{E8150875-7AB4-4CDE-B129-B0210BF7F814}">
    <text>https://www.sahkonumerot.fi/5020788</text>
    <extLst>
      <x:ext xmlns:xltc2="http://schemas.microsoft.com/office/spreadsheetml/2020/threadedcomments2" uri="{F7C98A9C-CBB3-438F-8F68-D28B6AF4A901}">
        <xltc2:checksum>1606221330</xltc2:checksum>
        <xltc2:hyperlink startIndex="0" length="35" url="https://www.sahkonumerot.fi/5020788"/>
      </x:ext>
    </extLst>
  </threadedComment>
  <threadedComment ref="G498" dT="2024-06-28T10:09:14.63" personId="{68FE641C-13D6-414F-A435-AD08A2569DF6}" id="{D16F8DE6-0E12-4CC3-9D01-5D31F581DA3D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3230340062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499" dT="2024-06-28T09:25:41.74" personId="{68FE641C-13D6-414F-A435-AD08A2569DF6}" id="{CA064B73-A732-4E13-A3FB-C8211BD00FF1}">
    <text>https://www.onninen.fi/ensto-tappieristin-sdi-37-24kv-vetoholkilla/p/AAK119</text>
    <extLst>
      <x:ext xmlns:xltc2="http://schemas.microsoft.com/office/spreadsheetml/2020/threadedcomments2" uri="{F7C98A9C-CBB3-438F-8F68-D28B6AF4A901}">
        <xltc2:checksum>2394639130</xltc2:checksum>
        <xltc2:hyperlink startIndex="0" length="75" url="https://www.onninen.fi/ensto-tappieristin-sdi-37-24kv-vetoholkilla/p/AAK119"/>
      </x:ext>
    </extLst>
  </threadedComment>
  <threadedComment ref="G499" dT="2024-06-24T08:08:40.27" personId="{68FE641C-13D6-414F-A435-AD08A2569DF6}" id="{75049278-2DEC-4A9E-9576-8C27365FC514}">
    <text>Saksassa valmistettujen posliinisten saniteettituotteiden hiilijalanjälki. En löytänyt tämän sopivampaa tietoa posliinivalmistuksen hiilijalanjäljestä.
Tosin Enston tappieristimen tiedoista ei selviä, missä heidän tuotteensa on valmistettu.
https://www.climatiq.io/data/emission-factor/9f2508be-4752-42be-84cc-09406ec2057e</text>
    <extLst>
      <x:ext xmlns:xltc2="http://schemas.microsoft.com/office/spreadsheetml/2020/threadedcomments2" uri="{F7C98A9C-CBB3-438F-8F68-D28B6AF4A901}">
        <xltc2:checksum>2887270234</xltc2:checksum>
        <xltc2:hyperlink startIndex="243" length="81" url="https://www.climatiq.io/data/emission-factor/9f2508be-4752-42be-84cc-09406ec2057e"/>
      </x:ext>
    </extLst>
  </threadedComment>
  <threadedComment ref="E500" dT="2024-08-29T08:11:50.04" personId="{68FE641C-13D6-414F-A435-AD08A2569DF6}" id="{42FBA29C-267D-496C-BA79-B5A90C09E4E7}">
    <text>https://www.ensto.com/fi/sahkoverkonrakennus/tuotteet/keskijanniteratkaisut-ja-verkostoautomaatio/ilmajohtotarvikkeet/orret/sh75/</text>
    <extLst>
      <x:ext xmlns:xltc2="http://schemas.microsoft.com/office/spreadsheetml/2020/threadedcomments2" uri="{F7C98A9C-CBB3-438F-8F68-D28B6AF4A901}">
        <xltc2:checksum>2485054641</xltc2:checksum>
        <xltc2:hyperlink startIndex="0" length="129" url="https://www.ensto.com/fi/sahkoverkonrakennus/tuotteet/keskijanniteratkaisut-ja-verkostoautomaatio/ilmajohtotarvikkeet/orret/sh75/"/>
      </x:ext>
    </extLst>
  </threadedComment>
  <threadedComment ref="G500" dT="2024-06-18T12:41:41.43" personId="{68FE641C-13D6-414F-A435-AD08A2569DF6}" id="{D765CCC7-30F5-4A05-B398-D488FF5BD9B7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509" dT="2024-02-01T12:14:50.07" personId="{68FE641C-13D6-414F-A435-AD08A2569DF6}" id="{80B87727-94A0-4A36-8CCD-42E761613AAE}">
    <text>https://co2data.fi/infra/
Murske 0-32
kg CO₂e/kg</text>
    <extLst>
      <x:ext xmlns:xltc2="http://schemas.microsoft.com/office/spreadsheetml/2020/threadedcomments2" uri="{F7C98A9C-CBB3-438F-8F68-D28B6AF4A901}">
        <xltc2:checksum>2162555364</xltc2:checksum>
        <xltc2:hyperlink startIndex="0" length="25" url="https://co2data.fi/infra/"/>
      </x:ext>
    </extLst>
  </threadedComment>
  <threadedComment ref="H509" dT="2024-02-01T12:19:12.65" personId="{68FE641C-13D6-414F-A435-AD08A2569DF6}" id="{89B769D6-DE76-4574-8D05-DA0F019568CC}">
    <text xml:space="preserve">suodatinkangas, käyttöluokka N2 
kg CO₂e/m²
https://co2data.fi/infra/
</text>
    <extLst>
      <x:ext xmlns:xltc2="http://schemas.microsoft.com/office/spreadsheetml/2020/threadedcomments2" uri="{F7C98A9C-CBB3-438F-8F68-D28B6AF4A901}">
        <xltc2:checksum>2340879556</xltc2:checksum>
        <xltc2:hyperlink startIndex="45" length="25" url="https://co2data.fi/infra/"/>
      </x:ext>
    </extLst>
  </threadedComment>
  <threadedComment ref="K509" dT="2024-02-01T12:59:49.29" personId="{68FE641C-13D6-414F-A435-AD08A2569DF6}" id="{B2C822A3-7D83-43AE-8FC5-39E6CA2B8BFF}">
    <text xml:space="preserve">kg CO₂e/m²
https://finnfoam.fi/wp-content/uploads/2022/11/finnfoamxps_rts-epd_FINNFOAM-_XPS_113-21.pdf
sivut 11-12
</text>
    <extLst>
      <x:ext xmlns:xltc2="http://schemas.microsoft.com/office/spreadsheetml/2020/threadedcomments2" uri="{F7C98A9C-CBB3-438F-8F68-D28B6AF4A901}">
        <xltc2:checksum>3929533906</xltc2:checksum>
        <xltc2:hyperlink startIndex="12" length="91" url="https://finnfoam.fi/wp-content/uploads/2022/11/finnfoamxps_rts-epd_FINNFOAM-_XPS_113-21.pdf"/>
      </x:ext>
    </extLst>
  </threadedComment>
  <threadedComment ref="N509" dT="2024-02-26T07:35:31.41" personId="{68FE641C-13D6-414F-A435-AD08A2569DF6}" id="{C1266AED-D5A2-48A4-A13D-40ABC75663D1}">
    <text>putki, maaviemäri 110 mm, PVC, 6M, SN8 
https://co2data.fi/infra/</text>
    <extLst>
      <x:ext xmlns:xltc2="http://schemas.microsoft.com/office/spreadsheetml/2020/threadedcomments2" uri="{F7C98A9C-CBB3-438F-8F68-D28B6AF4A901}">
        <xltc2:checksum>222193807</xltc2:checksum>
        <xltc2:hyperlink startIndex="41" length="25" url="https://co2data.fi/infra/"/>
      </x:ext>
    </extLst>
  </threadedComment>
  <threadedComment ref="P509" dT="2024-02-28T12:56:24.09" personId="{68FE641C-13D6-414F-A435-AD08A2569DF6}" id="{EDAAEFB1-A061-437B-AF65-17121B876BCE}">
    <text>Polyeteeni (HDPE)</text>
  </threadedComment>
  <threadedComment ref="Q509" dT="2024-02-28T13:00:45.11" personId="{68FE641C-13D6-414F-A435-AD08A2569DF6}" id="{3AC9761E-B440-415A-99D1-C78CAAF9DBF5}">
    <text>6m salko jaettu metrin mittaiseksi.
 5,4 CO2e / 6 = 0,9 CO2e
https://catalog.pipelife.com/fi/article/190845/70001340-fi-pe-cable-pipe-110-95-sn8-b-6m-ye?categoryurl=tuplaputket-181189&amp;regionalid=188757</text>
    <extLst>
      <x:ext xmlns:xltc2="http://schemas.microsoft.com/office/spreadsheetml/2020/threadedcomments2" uri="{F7C98A9C-CBB3-438F-8F68-D28B6AF4A901}">
        <xltc2:checksum>704687474</xltc2:checksum>
        <xltc2:hyperlink startIndex="63" length="140" url="https://catalog.pipelife.com/fi/article/190845/70001340-fi-pe-cable-pipe-110-95-sn8-b-6m-ye?categoryurl=tuplaputket-181189&amp;regionalid=188757"/>
      </x:ext>
    </extLst>
  </threadedComment>
  <threadedComment ref="K510" dT="2024-02-01T12:49:01.28" personId="{68FE641C-13D6-414F-A435-AD08A2569DF6}" id="{25D5B3E8-A407-4733-8CD9-525DB9D4ABC4}">
    <text xml:space="preserve">Valmistajan kerroin * Paksuus kerroin / m²
2,46 kg CO₂e * 1,58 </text>
  </threadedComment>
  <threadedComment ref="G537" dT="2024-05-30T06:12:19.67" personId="{68FE641C-13D6-414F-A435-AD08A2569DF6}" id="{6CA46CE6-A237-43C6-86B9-685607EE4EE8}">
    <text>Kuparin CO2e sivu 3
https://co2data.fi/infra/reports/INFRA%20muut%20metallituotteet%20R01.05.pdf</text>
    <extLst>
      <x:ext xmlns:xltc2="http://schemas.microsoft.com/office/spreadsheetml/2020/threadedcomments2" uri="{F7C98A9C-CBB3-438F-8F68-D28B6AF4A901}">
        <xltc2:checksum>2118874686</xltc2:checksum>
        <xltc2:hyperlink startIndex="21" length="76" url="https://co2data.fi/infra/reports/INFRA%20muut%20metallituotteet%20R01.05.pdf"/>
      </x:ext>
    </extLst>
  </threadedComment>
  <threadedComment ref="H538" dT="2024-05-30T05:42:40.12" personId="{68FE641C-13D6-414F-A435-AD08A2569DF6}" id="{59E01925-7CDF-4E14-8B20-30C42BD7EAF3}">
    <text>Co2data.fi 16mm2 kupariköyden CO2e arvo 0,59 kerrottuna 25mm2 ja 16mm2 suhteella.</text>
  </threadedComment>
  <threadedComment ref="F539" dT="2024-05-30T06:05:42.22" personId="{68FE641C-13D6-414F-A435-AD08A2569DF6}" id="{DDBE1C24-BA40-4B88-8B8D-4316E6172A6E}">
    <text>https://www.sahkonumerot.fi/5040306</text>
    <extLst>
      <x:ext xmlns:xltc2="http://schemas.microsoft.com/office/spreadsheetml/2020/threadedcomments2" uri="{F7C98A9C-CBB3-438F-8F68-D28B6AF4A901}">
        <xltc2:checksum>3513382913</xltc2:checksum>
        <xltc2:hyperlink startIndex="0" length="35" url="https://www.sahkonumerot.fi/5040306"/>
      </x:ext>
    </extLst>
  </threadedComment>
  <threadedComment ref="F540" dT="2024-05-30T09:29:37.84" personId="{68FE641C-13D6-414F-A435-AD08A2569DF6}" id="{B2ABF474-2419-44D7-AB07-3A6FD60D6168}">
    <text>https://www.sahkonumerot.fi/5026089</text>
    <extLst>
      <x:ext xmlns:xltc2="http://schemas.microsoft.com/office/spreadsheetml/2020/threadedcomments2" uri="{F7C98A9C-CBB3-438F-8F68-D28B6AF4A901}">
        <xltc2:checksum>2690715061</xltc2:checksum>
        <xltc2:hyperlink startIndex="0" length="35" url="https://www.sahkonumerot.fi/5026089"/>
      </x:ext>
    </extLst>
  </threadedComment>
  <threadedComment ref="G540" dT="2024-05-30T09:29:07.48" personId="{68FE641C-13D6-414F-A435-AD08A2569DF6}" id="{D894739C-ACC0-4C57-A556-C9B2926C4C0B}">
    <text>"PE:n hiilijalanjälki elinkaarivaiheille A1-A3 on 2,41 kg CO2e/kg "
Sivu 10
https://co2data.fi/infra/reports/INFRA%20muovituotteet%20R01.04.pdf</text>
    <extLst>
      <x:ext xmlns:xltc2="http://schemas.microsoft.com/office/spreadsheetml/2020/threadedcomments2" uri="{F7C98A9C-CBB3-438F-8F68-D28B6AF4A901}">
        <xltc2:checksum>1521120763</xltc2:checksum>
        <xltc2:hyperlink startIndex="78" length="67" url="https://co2data.fi/infra/reports/INFRA%20muovituotteet%20R01.04.pdf"/>
      </x:ext>
    </extLst>
  </threadedComment>
  <threadedComment ref="H549" dT="2024-05-29T10:58:48.49" personId="{68FE641C-13D6-414F-A435-AD08A2569DF6}" id="{D8B7BDE4-ECF6-46A9-8FB6-8E59798B9B1B}">
    <text>Kupariköysi hiilijalanjälki
16mm2 =  0.59 kg CO2e/m
4.2 kg CO2e/kg
Päästöt laskettu poikkipinta-alan ja painon mukaan co2datan tietojen perusteella
Sivuilla 13-14
https://co2data.fi/infra/reports/INFRA%20muut%20metallituotteet%20R01.05.pdf</text>
    <extLst>
      <x:ext xmlns:xltc2="http://schemas.microsoft.com/office/spreadsheetml/2020/threadedcomments2" uri="{F7C98A9C-CBB3-438F-8F68-D28B6AF4A901}">
        <xltc2:checksum>3597540862</xltc2:checksum>
        <xltc2:hyperlink startIndex="167" length="76" url="https://co2data.fi/infra/reports/INFRA%20muut%20metallituotteet%20R01.05.pdf"/>
      </x:ext>
    </extLst>
  </threadedComment>
  <threadedComment ref="E550" dT="2024-10-22T07:44:35.73" personId="{68FE641C-13D6-414F-A435-AD08A2569DF6}" id="{63AAABBB-C5DE-4449-BC66-B7D2E4DDE106}">
    <text>https://www.epd-norge.no/getfile.php/1332450-1683543535/EPDer/Byggevarer/St%C3%A5lkonstruksjoner/NEPD-4425-3644_Letti-sinkbelagte-klammer.pdf</text>
    <extLst>
      <x:ext xmlns:xltc2="http://schemas.microsoft.com/office/spreadsheetml/2020/threadedcomments2" uri="{F7C98A9C-CBB3-438F-8F68-D28B6AF4A901}">
        <xltc2:checksum>1124890299</xltc2:checksum>
        <xltc2:hyperlink startIndex="0" length="141" url="https://www.epd-norge.no/getfile.php/1332450-1683543535/EPDer/Byggevarer/St%C3%A5lkonstruksjoner/NEPD-4425-3644_Letti-sinkbelagte-klammer.pdf"/>
      </x:ext>
    </extLst>
  </threadedComment>
  <threadedComment ref="F551" dT="2024-05-30T09:29:37.84" personId="{68FE641C-13D6-414F-A435-AD08A2569DF6}" id="{A151A78B-FC26-4B94-BF5A-B15D8AE801A6}">
    <text>https://www.sahkonumerot.fi/5026089</text>
    <extLst>
      <x:ext xmlns:xltc2="http://schemas.microsoft.com/office/spreadsheetml/2020/threadedcomments2" uri="{F7C98A9C-CBB3-438F-8F68-D28B6AF4A901}">
        <xltc2:checksum>2690715061</xltc2:checksum>
        <xltc2:hyperlink startIndex="0" length="35" url="https://www.sahkonumerot.fi/5026089"/>
      </x:ext>
    </extLst>
  </threadedComment>
  <threadedComment ref="G551" dT="2024-05-30T09:29:07.48" personId="{68FE641C-13D6-414F-A435-AD08A2569DF6}" id="{F63E072E-620B-4A7B-9E05-C33F3AF3B04C}">
    <text>"PE:n hiilijalanjälki elinkaarivaiheille A1-A3 on 2,41 kg CO2e/kg "
Sivu 10
https://co2data.fi/infra/reports/INFRA%20muovituotteet%20R01.04.pdf</text>
    <extLst>
      <x:ext xmlns:xltc2="http://schemas.microsoft.com/office/spreadsheetml/2020/threadedcomments2" uri="{F7C98A9C-CBB3-438F-8F68-D28B6AF4A901}">
        <xltc2:checksum>1521120763</xltc2:checksum>
        <xltc2:hyperlink startIndex="78" length="67" url="https://co2data.fi/infra/reports/INFRA%20muovituotteet%20R01.04.pdf"/>
      </x:ext>
    </extLst>
  </threadedComment>
  <threadedComment ref="E552" dT="2024-10-28T09:58:43.21" personId="{68FE641C-13D6-414F-A435-AD08A2569DF6}" id="{9C3F687F-BF2C-4390-9B3C-A20CF597EE33}">
    <text>https://www.onninen.fi/onnline-sinkila-onnline-maadoituskoydelle-35x10ks/p/ACI561</text>
    <extLst>
      <x:ext xmlns:xltc2="http://schemas.microsoft.com/office/spreadsheetml/2020/threadedcomments2" uri="{F7C98A9C-CBB3-438F-8F68-D28B6AF4A901}">
        <xltc2:checksum>1837094596</xltc2:checksum>
        <xltc2:hyperlink startIndex="0" length="81" url="https://www.onninen.fi/onnline-sinkila-onnline-maadoituskoydelle-35x10ks/p/ACI561"/>
      </x:ext>
    </extLst>
  </threadedComment>
  <threadedComment ref="G552" dT="2024-06-18T12:41:41.43" personId="{68FE641C-13D6-414F-A435-AD08A2569DF6}" id="{5E43566B-B21F-4928-8208-FF7B9D7B4396}">
    <text xml:space="preserve">"Kiinnitysruuvit ja muttereiden hiilijalanjälkiarvoksi ehdotettu käytettävään Peiko Group:in RTS EPD:ta Nro 8, ‘Connecting parts’ "
Sivu 24
https://co2data.fi/infra/reports/INFRA%20ter%C3%A4stuotteet%20R01.05.pdf
Peikko EPD
https://media.peikko.com/file/dl/i/uvOVIA/l49xp4tQMznByfZAssLy0g/EPD_Connecting_Parts_April2022.pdf?fv=18f9
</text>
    <extLst>
      <x:ext xmlns:xltc2="http://schemas.microsoft.com/office/spreadsheetml/2020/threadedcomments2" uri="{F7C98A9C-CBB3-438F-8F68-D28B6AF4A901}">
        <xltc2:checksum>2508374224</xltc2:checksum>
        <xltc2:hyperlink startIndex="142" length="72" url="https://co2data.fi/infra/reports/INFRA%20ter%C3%A4stuotteet%20R01.05.pdf"/>
        <xltc2:hyperlink startIndex="228" length="107" url="https://media.peikko.com/file/dl/i/uvOVIA/l49xp4tQMznByfZAssLy0g/EPD_Connecting_Parts_April2022.pdf?fv=18f9"/>
      </x:ext>
    </extLst>
  </threadedComment>
  <threadedComment ref="E553" dT="2024-07-29T12:04:51.83" personId="{68FE641C-13D6-414F-A435-AD08A2569DF6}" id="{76367733-7241-441E-8A19-328806F71491}">
    <text xml:space="preserve">https://www.sahkonumerot.fi/5043328
</text>
    <extLst>
      <x:ext xmlns:xltc2="http://schemas.microsoft.com/office/spreadsheetml/2020/threadedcomments2" uri="{F7C98A9C-CBB3-438F-8F68-D28B6AF4A901}">
        <xltc2:checksum>421187093</xltc2:checksum>
        <xltc2:hyperlink startIndex="0" length="35" url="https://www.sahkonumerot.fi/5043328"/>
      </x:ext>
    </extLst>
  </threadedComment>
  <threadedComment ref="G553" dT="2024-06-20T07:04:36.05" personId="{68FE641C-13D6-414F-A435-AD08A2569DF6}" id="{775C3DB6-8B0B-4C80-BB1E-E17D2AFBA11D}">
    <text xml:space="preserve">https://co2data.fi/infra/ 
kerroin 2.6 kg CO2e /kg perustuu oletukseen , että alumiinista 75% on kierrätettyä
https://www.gov.uk/government/publications/greenhouse-gas-reporting-conversion-factors-2023
Kerroin:
Neitseellinen 9,108 kg CO2e /kg
kierrätetty  0,99 kg CO2e /kg
</text>
    <extLst>
      <x:ext xmlns:xltc2="http://schemas.microsoft.com/office/spreadsheetml/2020/threadedcomments2" uri="{F7C98A9C-CBB3-438F-8F68-D28B6AF4A901}">
        <xltc2:checksum>836706489</xltc2:checksum>
        <xltc2:hyperlink startIndex="0" length="25" url="https://co2data.fi/infra/"/>
        <xltc2:hyperlink startIndex="111" length="91" url="https://www.gov.uk/government/publications/greenhouse-gas-reporting-conversion-factors-2023"/>
      </x:ext>
    </extLst>
  </threadedComment>
  <threadedComment ref="C563" dT="2025-03-19T09:00:19.13" personId="{68FE641C-13D6-414F-A435-AD08A2569DF6}" id="{34395F70-BEA4-4933-B93D-DB92E1CF284B}">
    <text>https://kesko-onninen-pim-resources-production.s3-eu-west-1.amazonaws.com/pimdocuments/FISTK_0122259_10052.pdf</text>
    <extLst>
      <x:ext xmlns:xltc2="http://schemas.microsoft.com/office/spreadsheetml/2020/threadedcomments2" uri="{F7C98A9C-CBB3-438F-8F68-D28B6AF4A901}">
        <xltc2:checksum>1844228954</xltc2:checksum>
        <xltc2:hyperlink startIndex="0" length="110" url="https://kesko-onninen-pim-resources-production.s3-eu-west-1.amazonaws.com/pimdocuments/FISTK_0122259_10052.pdf"/>
      </x:ext>
    </extLst>
  </threadedComment>
  <threadedComment ref="C571" dT="2025-03-19T09:21:52.79" personId="{68FE641C-13D6-414F-A435-AD08A2569DF6}" id="{091345DB-D3AF-4537-A10A-2323568D9221}">
    <text>https://brandportal.uponor.com/m/3222ca3d072d6661/original/Uponor-EPD_-Aqua-Pipe.pdf</text>
    <extLst>
      <x:ext xmlns:xltc2="http://schemas.microsoft.com/office/spreadsheetml/2020/threadedcomments2" uri="{F7C98A9C-CBB3-438F-8F68-D28B6AF4A901}">
        <xltc2:checksum>1361453734</xltc2:checksum>
        <xltc2:hyperlink startIndex="0" length="84" url="https://brandportal.uponor.com/m/3222ca3d072d6661/original/Uponor-EPD_-Aqua-Pipe.pdf"/>
      </x:ext>
    </extLst>
  </threadedComment>
  <threadedComment ref="C572" dT="2025-03-19T09:24:25.68" personId="{68FE641C-13D6-414F-A435-AD08A2569DF6}" id="{A7F1FD4F-335A-409D-949F-03ECA82C217B}">
    <text>https://brandportal.uponor.com/m/561ad34ca14845cd/original/Uponor-EPD-Radi-Pipe-EPD-Hub-EN.pdf</text>
    <extLst>
      <x:ext xmlns:xltc2="http://schemas.microsoft.com/office/spreadsheetml/2020/threadedcomments2" uri="{F7C98A9C-CBB3-438F-8F68-D28B6AF4A901}">
        <xltc2:checksum>1927320403</xltc2:checksum>
        <xltc2:hyperlink startIndex="0" length="94" url="https://brandportal.uponor.com/m/561ad34ca14845cd/original/Uponor-EPD-Radi-Pipe-EPD-Hub-EN.pdf"/>
      </x:ext>
    </extLst>
  </threadedComment>
  <threadedComment ref="C573" dT="2025-03-19T09:24:29.29" personId="{68FE641C-13D6-414F-A435-AD08A2569DF6}" id="{51C4FFE7-D261-4B43-A9D8-9BA82B85A629}">
    <text>https://brandportal.uponor.com/m/22e51a642102047e/original/Environmental-Product-Declaration-EPD-Klett-Pipe.pdf</text>
    <extLst>
      <x:ext xmlns:xltc2="http://schemas.microsoft.com/office/spreadsheetml/2020/threadedcomments2" uri="{F7C98A9C-CBB3-438F-8F68-D28B6AF4A901}">
        <xltc2:checksum>2917681010</xltc2:checksum>
        <xltc2:hyperlink startIndex="0" length="111" url="https://brandportal.uponor.com/m/22e51a642102047e/original/Environmental-Product-Declaration-EPD-Klett-Pipe.pdf"/>
      </x:ext>
    </extLst>
  </threadedComment>
  <threadedComment ref="E584" dT="2025-04-30T14:21:01.94" personId="{68FE641C-13D6-414F-A435-AD08A2569DF6}" id="{605535B9-D11B-4D66-AA20-638571F7AD33}">
    <text>https://www.reka.fi/tuoteryhma/ahxamk-wm-12-20-24-kv-3-johdin/
Tässä mallissa teräksinen kannatinköysi.</text>
    <extLst>
      <x:ext xmlns:xltc2="http://schemas.microsoft.com/office/spreadsheetml/2020/threadedcomments2" uri="{F7C98A9C-CBB3-438F-8F68-D28B6AF4A901}">
        <xltc2:checksum>89857704</xltc2:checksum>
        <xltc2:hyperlink startIndex="0" length="62" url="https://www.reka.fi/tuoteryhma/ahxamk-wm-12-20-24-kv-3-johdin/"/>
      </x:ext>
    </extLst>
  </threadedComment>
  <threadedComment ref="F584" dT="2025-04-30T14:20:47.79" personId="{68FE641C-13D6-414F-A435-AD08A2569DF6}" id="{9A9451ED-C789-4427-8D2B-4CBDF67B1966}">
    <text>https://www.reka.fi/tuoteryhma/ahxamk-wp-12-20-24-kv-3-johdin/
Tässä mallissa ei ole kannatinköyttä lainkaan.</text>
    <extLst>
      <x:ext xmlns:xltc2="http://schemas.microsoft.com/office/spreadsheetml/2020/threadedcomments2" uri="{F7C98A9C-CBB3-438F-8F68-D28B6AF4A901}">
        <xltc2:checksum>3966230520</xltc2:checksum>
        <xltc2:hyperlink startIndex="0" length="62" url="https://www.reka.fi/tuoteryhma/ahxamk-wp-12-20-24-kv-3-johdin/"/>
      </x:ext>
    </extLst>
  </threadedComment>
  <threadedComment ref="I584" dT="2025-04-30T14:20:47.79" personId="{68FE641C-13D6-414F-A435-AD08A2569DF6}" id="{1D6EA535-D997-4BED-A124-6B35D985824D}">
    <text>https://www.reka.fi/tuoteryhma/ahxamk-wp-12-20-24-kv-3-johdin/
Tässä mallissa ei ole kannatinköyttä lainkaan.</text>
    <extLst>
      <x:ext xmlns:xltc2="http://schemas.microsoft.com/office/spreadsheetml/2020/threadedcomments2" uri="{F7C98A9C-CBB3-438F-8F68-D28B6AF4A901}">
        <xltc2:checksum>3966230520</xltc2:checksum>
        <xltc2:hyperlink startIndex="0" length="62" url="https://www.reka.fi/tuoteryhma/ahxamk-wp-12-20-24-kv-3-johdin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ka.fi/kelat-ja-cabler/kelatiedot-ja-ohjeet/kaapelikelojen-mekaaniset-mitat-ja-massat/" TargetMode="External"/><Relationship Id="rId2" Type="http://schemas.openxmlformats.org/officeDocument/2006/relationships/hyperlink" Target="https://ghgprotocol.org/sites/default/files/2023-03/Scope3_Calculation_Guidance_0%5B1%5D.pdf" TargetMode="External"/><Relationship Id="rId1" Type="http://schemas.openxmlformats.org/officeDocument/2006/relationships/hyperlink" Target="https://co2data.fi/infra/reports/INFRA%20kuljetukset%20R01.01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21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42" Type="http://schemas.openxmlformats.org/officeDocument/2006/relationships/hyperlink" Target="https://img3.materialbank.net/NiboWEB/reka/getPublicImage.do?ticket=7&amp;type=original&amp;name=PEP%20NXNS-00428-V01.01-EN.pdf" TargetMode="External"/><Relationship Id="rId47" Type="http://schemas.openxmlformats.org/officeDocument/2006/relationships/hyperlink" Target="https://img3.materialbank.net/NiboWEB/reka/getPublicImage.do?ticket=7&amp;type=original&amp;name=PEP%20NXNS-00428-V01.01-EN.pdf" TargetMode="External"/><Relationship Id="rId63" Type="http://schemas.openxmlformats.org/officeDocument/2006/relationships/hyperlink" Target="https://img3.materialbank.net/NiboWEB/reka/getPublicImage.do?ticket=7&amp;type=original&amp;name=PEP%20NXNS-00450-V01.01-EN.pdf" TargetMode="External"/><Relationship Id="rId68" Type="http://schemas.openxmlformats.org/officeDocument/2006/relationships/hyperlink" Target="https://img3.materialbank.net/NiboWEB/reka/getPublicImage.do?ticket=7&amp;type=original&amp;name=PEP%20NXNS-00450-V01.01-EN.pdf" TargetMode="External"/><Relationship Id="rId84" Type="http://schemas.microsoft.com/office/2017/10/relationships/threadedComment" Target="../threadedComments/threadedComment1.xml"/><Relationship Id="rId16" Type="http://schemas.openxmlformats.org/officeDocument/2006/relationships/hyperlink" Target="https://www.epd-norge.no/getfile.php/13185643-1741664627/EPDer/Byggevarer/NEPD-5473-4764_NAL-----MV-indoor-air-switch-disconnector.pdf" TargetMode="External"/><Relationship Id="rId11" Type="http://schemas.openxmlformats.org/officeDocument/2006/relationships/hyperlink" Target="https://sahkonumerot.fi/5708507/doc/environmentalproductdeclaration/" TargetMode="External"/><Relationship Id="rId32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37" Type="http://schemas.openxmlformats.org/officeDocument/2006/relationships/hyperlink" Target="https://img3.materialbank.net/NiboWEB/reka/getPublicImage.do?ticket=7&amp;type=original&amp;name=PEP%20NXNS-00437-V01.01-EN.pdf" TargetMode="External"/><Relationship Id="rId53" Type="http://schemas.openxmlformats.org/officeDocument/2006/relationships/hyperlink" Target="https://img3.materialbank.net/NiboWEB/reka/getPublicImage.do?ticket=7&amp;type=original&amp;name=PEP%20NXNS-00428-V01.01-EN.pdf" TargetMode="External"/><Relationship Id="rId58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74" Type="http://schemas.openxmlformats.org/officeDocument/2006/relationships/hyperlink" Target="https://library.e.abb.com/public/2d91df0a6a6d418488c4822ac382efef/ABBG-00314-V01.01-EN.pdf" TargetMode="External"/><Relationship Id="rId79" Type="http://schemas.openxmlformats.org/officeDocument/2006/relationships/hyperlink" Target="https://www.epditaly.it/en/wp-content/uploads/2021/12/EPD_RTI-ENVERTEC-Ltd_-Polymeric-insulators.pdf" TargetMode="External"/><Relationship Id="rId5" Type="http://schemas.openxmlformats.org/officeDocument/2006/relationships/hyperlink" Target="https://sahkonumerot.fi/5708507/doc/environmentalproductdeclaration/" TargetMode="External"/><Relationship Id="rId61" Type="http://schemas.openxmlformats.org/officeDocument/2006/relationships/hyperlink" Target="https://img3.materialbank.net/NiboWEB/reka/getPublicImage.do?ticket=7&amp;type=original&amp;name=PEP%20NXNS-00450-V01.01-EN.pdf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https://www.epd-norge.no/getfile.php/13185643-1741664627/EPDer/Byggevarer/NEPD-5473-4764_NAL-----MV-indoor-air-switch-disconnector.pdf" TargetMode="External"/><Relationship Id="rId14" Type="http://schemas.openxmlformats.org/officeDocument/2006/relationships/hyperlink" Target="https://www.epd-norge.no/getfile.php/13185643-1741664627/EPDer/Byggevarer/NEPD-5473-4764_NAL-----MV-indoor-air-switch-disconnector.pdf" TargetMode="External"/><Relationship Id="rId22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27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30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35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43" Type="http://schemas.openxmlformats.org/officeDocument/2006/relationships/hyperlink" Target="https://img3.materialbank.net/NiboWEB/reka/getPublicImage.do?ticket=7&amp;type=original&amp;name=PEP%20NXNS-00428-V01.01-EN.pdf" TargetMode="External"/><Relationship Id="rId48" Type="http://schemas.openxmlformats.org/officeDocument/2006/relationships/hyperlink" Target="https://img3.materialbank.net/NiboWEB/reka/getPublicImage.do?ticket=7&amp;type=original&amp;name=PEP%20NXNS-00428-V01.01-EN.pdf" TargetMode="External"/><Relationship Id="rId56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64" Type="http://schemas.openxmlformats.org/officeDocument/2006/relationships/hyperlink" Target="https://img3.materialbank.net/NiboWEB/reka/getPublicImage.do?ticket=7&amp;type=original&amp;name=PEP%20NXNS-00450-V01.01-EN.pdf" TargetMode="External"/><Relationship Id="rId69" Type="http://schemas.openxmlformats.org/officeDocument/2006/relationships/hyperlink" Target="https://img3.materialbank.net/NiboWEB/reka/getPublicImage.do?ticket=7&amp;type=original&amp;name=PEP%20NXNS-00450-V01.01-EN.pdf" TargetMode="External"/><Relationship Id="rId77" Type="http://schemas.openxmlformats.org/officeDocument/2006/relationships/hyperlink" Target="https://www.epditaly.it/en/wp-content/uploads/2021/12/EPD_RTI-ENVERTEC-Ltd_-Polymeric-insulators.pdf" TargetMode="External"/><Relationship Id="rId8" Type="http://schemas.openxmlformats.org/officeDocument/2006/relationships/hyperlink" Target="https://sahkonumerot.fi/5708507/doc/environmentalproductdeclaration/" TargetMode="External"/><Relationship Id="rId51" Type="http://schemas.openxmlformats.org/officeDocument/2006/relationships/hyperlink" Target="https://img3.materialbank.net/NiboWEB/reka/getPublicImage.do?ticket=7&amp;type=original&amp;name=PEP%20NXNS-00428-V01.01-EN.pdf" TargetMode="External"/><Relationship Id="rId72" Type="http://schemas.openxmlformats.org/officeDocument/2006/relationships/hyperlink" Target="https://library.e.abb.com/public/bac306da5cd446d2ba0c6c3b6815c526/ABBG-00192-V01.01-EN.pdf?x-sign=q1UG56kG3B5DyjuLL8xwmnqcaT3vYKASh2NfTxG0zA2epykJ7EZlLGgNzx6z7Q3K" TargetMode="External"/><Relationship Id="rId80" Type="http://schemas.openxmlformats.org/officeDocument/2006/relationships/hyperlink" Target="https://www.epditaly.it/en/wp-content/uploads/2021/12/EPD_RTI-ENVERTEC-Ltd_-Polymeric-insulators.pdf" TargetMode="External"/><Relationship Id="rId3" Type="http://schemas.openxmlformats.org/officeDocument/2006/relationships/hyperlink" Target="https://sahkonumerot.fi/5708507/doc/environmentalproductdeclaration/" TargetMode="External"/><Relationship Id="rId12" Type="http://schemas.openxmlformats.org/officeDocument/2006/relationships/hyperlink" Target="https://sahkonumerot.fi/5708507/doc/environmentalproductdeclaration/" TargetMode="External"/><Relationship Id="rId17" Type="http://schemas.openxmlformats.org/officeDocument/2006/relationships/hyperlink" Target="https://www.epd-norge.no/getfile.php/13185643-1741664627/EPDer/Byggevarer/NEPD-5473-4764_NAL-----MV-indoor-air-switch-disconnector.pdf" TargetMode="External"/><Relationship Id="rId25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33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38" Type="http://schemas.openxmlformats.org/officeDocument/2006/relationships/hyperlink" Target="https://img3.materialbank.net/NiboWEB/reka/getPublicImage.do?ticket=7&amp;type=original&amp;name=PEP%20NXNS-00437-V01.01-EN.pdf" TargetMode="External"/><Relationship Id="rId46" Type="http://schemas.openxmlformats.org/officeDocument/2006/relationships/hyperlink" Target="https://img3.materialbank.net/NiboWEB/reka/getPublicImage.do?ticket=7&amp;type=original&amp;name=PEP%20NXNS-00428-V01.01-EN.pdf" TargetMode="External"/><Relationship Id="rId59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67" Type="http://schemas.openxmlformats.org/officeDocument/2006/relationships/hyperlink" Target="https://img3.materialbank.net/NiboWEB/reka/getPublicImage.do?ticket=7&amp;type=original&amp;name=PEP%20NXNS-00450-V01.01-EN.pdf" TargetMode="External"/><Relationship Id="rId20" Type="http://schemas.openxmlformats.org/officeDocument/2006/relationships/hyperlink" Target="https://www.epd-norge.no/getfile.php/13185643-1741664627/EPDer/Byggevarer/NEPD-5473-4764_NAL-----MV-indoor-air-switch-disconnector.pdf" TargetMode="External"/><Relationship Id="rId41" Type="http://schemas.openxmlformats.org/officeDocument/2006/relationships/hyperlink" Target="https://img3.materialbank.net/NiboWEB/reka/getPublicImage.do?ticket=7&amp;type=original&amp;name=PEP%20NXNS-00437-V01.01-EN.pdf" TargetMode="External"/><Relationship Id="rId54" Type="http://schemas.openxmlformats.org/officeDocument/2006/relationships/hyperlink" Target="https://img3.materialbank.net/NiboWEB/reka/getPublicImage.do?ticket=7&amp;type=original&amp;name=PEP%20NXNS-00428-V01.01-EN.pdf" TargetMode="External"/><Relationship Id="rId62" Type="http://schemas.openxmlformats.org/officeDocument/2006/relationships/hyperlink" Target="https://img3.materialbank.net/NiboWEB/reka/getPublicImage.do?ticket=7&amp;type=original&amp;name=PEP%20NXNS-00450-V01.01-EN.pdf" TargetMode="External"/><Relationship Id="rId70" Type="http://schemas.openxmlformats.org/officeDocument/2006/relationships/hyperlink" Target="https://sahkonumerot.fi/5411202/doc/environmentalproductdeclaration/?_gl=1*gwju7j*_ga*MTgzMDQ2MDAxNC4xNzA2MTgzMDEy*_ga_FR81BJWHT5*MTcwOTAyMjY3My44LjEuMTcwOTAyMjc3NS4wLjAuMA" TargetMode="External"/><Relationship Id="rId75" Type="http://schemas.openxmlformats.org/officeDocument/2006/relationships/hyperlink" Target="https://www.epditaly.it/en/wp-content/uploads/2021/12/EPD_RTI-ENVERTEC-Ltd_-Polymeric-insulators.pdf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sahkonumerot.fi/5708507/doc/environmentalproductdeclaration/" TargetMode="External"/><Relationship Id="rId6" Type="http://schemas.openxmlformats.org/officeDocument/2006/relationships/hyperlink" Target="https://sahkonumerot.fi/5708507/doc/environmentalproductdeclaration/" TargetMode="External"/><Relationship Id="rId15" Type="http://schemas.openxmlformats.org/officeDocument/2006/relationships/hyperlink" Target="https://www.epd-norge.no/getfile.php/13185643-1741664627/EPDer/Byggevarer/NEPD-5473-4764_NAL-----MV-indoor-air-switch-disconnector.pdf" TargetMode="External"/><Relationship Id="rId23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28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36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49" Type="http://schemas.openxmlformats.org/officeDocument/2006/relationships/hyperlink" Target="https://img3.materialbank.net/NiboWEB/reka/getPublicImage.do?ticket=7&amp;type=original&amp;name=PEP%20NXNS-00428-V01.01-EN.pdf" TargetMode="External"/><Relationship Id="rId57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10" Type="http://schemas.openxmlformats.org/officeDocument/2006/relationships/hyperlink" Target="https://sahkonumerot.fi/5708507/doc/environmentalproductdeclaration/" TargetMode="External"/><Relationship Id="rId31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44" Type="http://schemas.openxmlformats.org/officeDocument/2006/relationships/hyperlink" Target="https://img3.materialbank.net/NiboWEB/reka/getPublicImage.do?ticket=7&amp;type=original&amp;name=PEP%20NXNS-00428-V01.01-EN.pdf" TargetMode="External"/><Relationship Id="rId52" Type="http://schemas.openxmlformats.org/officeDocument/2006/relationships/hyperlink" Target="https://img3.materialbank.net/NiboWEB/reka/getPublicImage.do?ticket=7&amp;type=original&amp;name=PEP%20NXNS-00428-V01.01-EN.pdf" TargetMode="External"/><Relationship Id="rId60" Type="http://schemas.openxmlformats.org/officeDocument/2006/relationships/hyperlink" Target="https://img3.materialbank.net/NiboWEB/reka/getPublicImage.do?ticket=7&amp;type=original&amp;name=PEP%20NXNS-00450-V01.01-EN.pdf" TargetMode="External"/><Relationship Id="rId65" Type="http://schemas.openxmlformats.org/officeDocument/2006/relationships/hyperlink" Target="https://img3.materialbank.net/NiboWEB/reka/getPublicImage.do?ticket=7&amp;type=original&amp;name=PEP%20NXNS-00450-V01.01-EN.pdf" TargetMode="External"/><Relationship Id="rId73" Type="http://schemas.openxmlformats.org/officeDocument/2006/relationships/hyperlink" Target="https://library.e.abb.com/public/bac306da5cd446d2ba0c6c3b6815c526/ABBG-00192-V01.01-EN.pdf?x-sign=q1UG56kG3B5DyjuLL8xwmnqcaT3vYKASh2NfTxG0zA2epykJ7EZlLGgNzx6z7Q3K" TargetMode="External"/><Relationship Id="rId78" Type="http://schemas.openxmlformats.org/officeDocument/2006/relationships/hyperlink" Target="https://www.epditaly.it/en/wp-content/uploads/2021/12/EPD_RTI-ENVERTEC-Ltd_-Polymeric-insulators.pdf" TargetMode="External"/><Relationship Id="rId81" Type="http://schemas.openxmlformats.org/officeDocument/2006/relationships/hyperlink" Target="https://laskurit.hiilineutraalisuomi.fi/nielu/" TargetMode="External"/><Relationship Id="rId4" Type="http://schemas.openxmlformats.org/officeDocument/2006/relationships/hyperlink" Target="https://sahkonumerot.fi/5708507/doc/environmentalproductdeclaration/" TargetMode="External"/><Relationship Id="rId9" Type="http://schemas.openxmlformats.org/officeDocument/2006/relationships/hyperlink" Target="https://sahkonumerot.fi/5708507/doc/environmentalproductdeclaration/" TargetMode="External"/><Relationship Id="rId13" Type="http://schemas.openxmlformats.org/officeDocument/2006/relationships/hyperlink" Target="https://www.epd-norge.no/getfile.php/13185643-1741664627/EPDer/Byggevarer/NEPD-5473-4764_NAL-----MV-indoor-air-switch-disconnector.pdf" TargetMode="External"/><Relationship Id="rId18" Type="http://schemas.openxmlformats.org/officeDocument/2006/relationships/hyperlink" Target="https://www.epd-norge.no/getfile.php/13185643-1741664627/EPDer/Byggevarer/NEPD-5473-4764_NAL-----MV-indoor-air-switch-disconnector.pdf" TargetMode="External"/><Relationship Id="rId39" Type="http://schemas.openxmlformats.org/officeDocument/2006/relationships/hyperlink" Target="https://img3.materialbank.net/NiboWEB/reka/getPublicImage.do?ticket=7&amp;type=original&amp;name=PEP%20NXNS-00437-V01.01-EN.pdf" TargetMode="External"/><Relationship Id="rId34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50" Type="http://schemas.openxmlformats.org/officeDocument/2006/relationships/hyperlink" Target="https://img3.materialbank.net/NiboWEB/reka/getPublicImage.do?ticket=7&amp;type=original&amp;name=PEP%20NXNS-00428-V01.01-EN.pdf" TargetMode="External"/><Relationship Id="rId55" Type="http://schemas.openxmlformats.org/officeDocument/2006/relationships/hyperlink" Target="https://img3.materialbank.net/NiboWEB/reka/getPublicImage.do?ticket=7&amp;type=original&amp;name=PEP%20NXNS-00428-V01.01-EN.pdf" TargetMode="External"/><Relationship Id="rId76" Type="http://schemas.openxmlformats.org/officeDocument/2006/relationships/hyperlink" Target="https://www.epditaly.it/en/wp-content/uploads/2021/12/EPD_RTI-ENVERTEC-Ltd_-Polymeric-insulators.pdf" TargetMode="External"/><Relationship Id="rId7" Type="http://schemas.openxmlformats.org/officeDocument/2006/relationships/hyperlink" Target="https://sahkonumerot.fi/5708507/doc/environmentalproductdeclaration/" TargetMode="External"/><Relationship Id="rId71" Type="http://schemas.openxmlformats.org/officeDocument/2006/relationships/hyperlink" Target="https://search.abb.com/library/Download.aspx?DocumentID=2CGD001327S1000&amp;LanguageCode=en&amp;DocumentPartId=&amp;Action=Launch" TargetMode="External"/><Relationship Id="rId2" Type="http://schemas.openxmlformats.org/officeDocument/2006/relationships/hyperlink" Target="https://sahkonumerot.fi/5708507/doc/environmentalproductdeclaration/" TargetMode="External"/><Relationship Id="rId29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24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40" Type="http://schemas.openxmlformats.org/officeDocument/2006/relationships/hyperlink" Target="https://img3.materialbank.net/NiboWEB/reka/getPublicImage.do?ticket=7&amp;type=original&amp;name=PEP%20NXNS-00437-V01.01-EN.pdf" TargetMode="External"/><Relationship Id="rId45" Type="http://schemas.openxmlformats.org/officeDocument/2006/relationships/hyperlink" Target="https://img3.materialbank.net/NiboWEB/reka/getPublicImage.do?ticket=7&amp;type=original&amp;name=PEP%20NXNS-00428-V01.01-EN.pdf" TargetMode="External"/><Relationship Id="rId66" Type="http://schemas.openxmlformats.org/officeDocument/2006/relationships/hyperlink" Target="https://img3.materialbank.net/NiboWEB/reka/getPublicImage.do?ticket=7&amp;type=original&amp;name=PEP%20NXNS-00450-V01.01-E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d-norge.no/getfile.php/13191502-1741690822/EPDer/Byggevarer/Heltreprodukter/NEPD-6060-5313_Utility-poles-made-of-pine--u-20---treated-with-copper-solution.pdf" TargetMode="External"/><Relationship Id="rId13" Type="http://schemas.microsoft.com/office/2017/10/relationships/threadedComment" Target="../threadedComments/threadedComment3.xml"/><Relationship Id="rId3" Type="http://schemas.openxmlformats.org/officeDocument/2006/relationships/hyperlink" Target="https://co2data.fi/infra/reports/INFRA%20muut%20metallituotteet%20R01.06.pdf" TargetMode="External"/><Relationship Id="rId7" Type="http://schemas.openxmlformats.org/officeDocument/2006/relationships/hyperlink" Target="https://co2data.fi/infra/reports/INFRA%20ter%C3%A4stuotteet%20R01.05.pdf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www.reka.fi/tuoteryhma/hk/" TargetMode="External"/><Relationship Id="rId1" Type="http://schemas.openxmlformats.org/officeDocument/2006/relationships/hyperlink" Target="https://co2data.fi/infra/reports/INFRA%20betoni%20R01.05.pdf" TargetMode="External"/><Relationship Id="rId6" Type="http://schemas.openxmlformats.org/officeDocument/2006/relationships/hyperlink" Target="https://co2data.fi/infra/reports/INFRA%20muut%20metallituotteet%20R01.05.pdf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co2data.fi/infra/reports/INFRA%20muut%20metallituotteet%20R01.05.pdf" TargetMode="External"/><Relationship Id="rId10" Type="http://schemas.openxmlformats.org/officeDocument/2006/relationships/hyperlink" Target="https://laskurit.hiilineutraalisuomi.fi/nielu/" TargetMode="External"/><Relationship Id="rId4" Type="http://schemas.openxmlformats.org/officeDocument/2006/relationships/hyperlink" Target="https://co2data.fi/infra/reports/INFRA%20muut%20metallituotteet%20R01.05.pdf" TargetMode="External"/><Relationship Id="rId9" Type="http://schemas.openxmlformats.org/officeDocument/2006/relationships/hyperlink" Target="https://www.luke.fi/fi/uutiset/suomen-metsissa-on-puuta-25-miljardia-kuutiometria-neljannes-siita-loytyy-soil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7C26-0028-40D8-8CA5-62B563551B92}">
  <dimension ref="A1:T99"/>
  <sheetViews>
    <sheetView topLeftCell="A37" workbookViewId="0">
      <selection activeCell="C51" sqref="C51"/>
    </sheetView>
  </sheetViews>
  <sheetFormatPr baseColWidth="10" defaultColWidth="8.83203125" defaultRowHeight="15" x14ac:dyDescent="0.2"/>
  <cols>
    <col min="1" max="1" width="10.33203125" customWidth="1"/>
    <col min="2" max="2" width="12.83203125" customWidth="1"/>
  </cols>
  <sheetData>
    <row r="1" spans="1:20" x14ac:dyDescent="0.2">
      <c r="A1" s="204" t="s">
        <v>259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0" x14ac:dyDescent="0.2">
      <c r="A2" s="48"/>
      <c r="B2" s="48" t="s">
        <v>256</v>
      </c>
    </row>
    <row r="3" spans="1:20" x14ac:dyDescent="0.2">
      <c r="C3" t="s">
        <v>257</v>
      </c>
    </row>
    <row r="4" spans="1:20" x14ac:dyDescent="0.2">
      <c r="C4" t="s">
        <v>874</v>
      </c>
    </row>
    <row r="6" spans="1:20" x14ac:dyDescent="0.2">
      <c r="C6" t="s">
        <v>677</v>
      </c>
    </row>
    <row r="7" spans="1:20" x14ac:dyDescent="0.2">
      <c r="C7" t="s">
        <v>678</v>
      </c>
    </row>
    <row r="8" spans="1:20" x14ac:dyDescent="0.2">
      <c r="C8" t="s">
        <v>260</v>
      </c>
    </row>
    <row r="9" spans="1:20" x14ac:dyDescent="0.2">
      <c r="C9" t="s">
        <v>783</v>
      </c>
    </row>
    <row r="10" spans="1:20" x14ac:dyDescent="0.2">
      <c r="C10" t="s">
        <v>258</v>
      </c>
    </row>
    <row r="13" spans="1:20" x14ac:dyDescent="0.2">
      <c r="B13" s="48" t="s">
        <v>261</v>
      </c>
    </row>
    <row r="14" spans="1:20" x14ac:dyDescent="0.2">
      <c r="C14" t="s">
        <v>269</v>
      </c>
    </row>
    <row r="15" spans="1:20" x14ac:dyDescent="0.2">
      <c r="C15" t="s">
        <v>679</v>
      </c>
    </row>
    <row r="16" spans="1:20" x14ac:dyDescent="0.2">
      <c r="C16" t="s">
        <v>270</v>
      </c>
    </row>
    <row r="17" spans="2:3" x14ac:dyDescent="0.2">
      <c r="C17" t="s">
        <v>676</v>
      </c>
    </row>
    <row r="20" spans="2:3" x14ac:dyDescent="0.2">
      <c r="B20" s="48" t="s">
        <v>262</v>
      </c>
    </row>
    <row r="21" spans="2:3" x14ac:dyDescent="0.2">
      <c r="B21" s="48"/>
      <c r="C21" t="s">
        <v>781</v>
      </c>
    </row>
    <row r="22" spans="2:3" x14ac:dyDescent="0.2">
      <c r="B22" s="48"/>
    </row>
    <row r="23" spans="2:3" x14ac:dyDescent="0.2">
      <c r="B23" s="48"/>
    </row>
    <row r="24" spans="2:3" x14ac:dyDescent="0.2">
      <c r="B24" s="48" t="s">
        <v>263</v>
      </c>
    </row>
    <row r="25" spans="2:3" x14ac:dyDescent="0.2">
      <c r="B25" s="48"/>
      <c r="C25" t="s">
        <v>682</v>
      </c>
    </row>
    <row r="26" spans="2:3" x14ac:dyDescent="0.2">
      <c r="B26" s="48"/>
      <c r="C26" t="s">
        <v>723</v>
      </c>
    </row>
    <row r="27" spans="2:3" x14ac:dyDescent="0.2">
      <c r="B27" s="48"/>
      <c r="C27" t="s">
        <v>724</v>
      </c>
    </row>
    <row r="28" spans="2:3" x14ac:dyDescent="0.2">
      <c r="B28" s="48"/>
      <c r="C28" t="s">
        <v>683</v>
      </c>
    </row>
    <row r="29" spans="2:3" x14ac:dyDescent="0.2">
      <c r="B29" s="48"/>
    </row>
    <row r="30" spans="2:3" x14ac:dyDescent="0.2">
      <c r="B30" s="48"/>
    </row>
    <row r="31" spans="2:3" x14ac:dyDescent="0.2">
      <c r="B31" s="48" t="s">
        <v>671</v>
      </c>
    </row>
    <row r="32" spans="2:3" x14ac:dyDescent="0.2">
      <c r="B32" s="48"/>
      <c r="C32" t="s">
        <v>881</v>
      </c>
    </row>
    <row r="33" spans="1:20" x14ac:dyDescent="0.2">
      <c r="B33" s="48"/>
    </row>
    <row r="35" spans="1:20" x14ac:dyDescent="0.2">
      <c r="A35" s="204" t="s">
        <v>877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</row>
    <row r="36" spans="1:20" x14ac:dyDescent="0.2">
      <c r="A36" s="48"/>
    </row>
    <row r="37" spans="1:20" x14ac:dyDescent="0.2">
      <c r="B37" s="48" t="s">
        <v>1</v>
      </c>
    </row>
    <row r="38" spans="1:20" x14ac:dyDescent="0.2">
      <c r="C38" t="s">
        <v>878</v>
      </c>
    </row>
    <row r="41" spans="1:20" x14ac:dyDescent="0.2">
      <c r="B41" s="48" t="s">
        <v>0</v>
      </c>
    </row>
    <row r="42" spans="1:20" x14ac:dyDescent="0.2">
      <c r="C42" t="s">
        <v>254</v>
      </c>
    </row>
    <row r="43" spans="1:20" x14ac:dyDescent="0.2">
      <c r="C43" t="s">
        <v>669</v>
      </c>
    </row>
    <row r="44" spans="1:20" x14ac:dyDescent="0.2">
      <c r="C44" t="s">
        <v>670</v>
      </c>
    </row>
    <row r="45" spans="1:20" x14ac:dyDescent="0.2">
      <c r="C45" t="s">
        <v>255</v>
      </c>
    </row>
    <row r="46" spans="1:20" x14ac:dyDescent="0.2">
      <c r="C46" t="s">
        <v>672</v>
      </c>
    </row>
    <row r="49" spans="1:3" x14ac:dyDescent="0.2">
      <c r="B49" s="48" t="s">
        <v>2</v>
      </c>
    </row>
    <row r="50" spans="1:3" x14ac:dyDescent="0.2">
      <c r="A50" s="48"/>
      <c r="C50" t="s">
        <v>668</v>
      </c>
    </row>
    <row r="51" spans="1:3" x14ac:dyDescent="0.2">
      <c r="A51" s="48"/>
      <c r="C51" s="49" t="s">
        <v>289</v>
      </c>
    </row>
    <row r="52" spans="1:3" x14ac:dyDescent="0.2">
      <c r="A52" s="48"/>
      <c r="C52" t="s">
        <v>667</v>
      </c>
    </row>
    <row r="53" spans="1:3" x14ac:dyDescent="0.2">
      <c r="A53" s="48"/>
    </row>
    <row r="55" spans="1:3" x14ac:dyDescent="0.2">
      <c r="C55" t="s">
        <v>251</v>
      </c>
    </row>
    <row r="56" spans="1:3" x14ac:dyDescent="0.2">
      <c r="C56" t="s">
        <v>252</v>
      </c>
    </row>
    <row r="57" spans="1:3" x14ac:dyDescent="0.2">
      <c r="C57" t="s">
        <v>666</v>
      </c>
    </row>
    <row r="58" spans="1:3" x14ac:dyDescent="0.2">
      <c r="C58" t="s">
        <v>253</v>
      </c>
    </row>
    <row r="59" spans="1:3" x14ac:dyDescent="0.2">
      <c r="C59" t="s">
        <v>345</v>
      </c>
    </row>
    <row r="62" spans="1:3" x14ac:dyDescent="0.2">
      <c r="B62" s="48" t="s">
        <v>673</v>
      </c>
    </row>
    <row r="63" spans="1:3" x14ac:dyDescent="0.2">
      <c r="C63" t="s">
        <v>726</v>
      </c>
    </row>
    <row r="64" spans="1:3" x14ac:dyDescent="0.2">
      <c r="C64" t="s">
        <v>871</v>
      </c>
    </row>
    <row r="65" spans="2:4" x14ac:dyDescent="0.2">
      <c r="C65" t="s">
        <v>725</v>
      </c>
    </row>
    <row r="67" spans="2:4" x14ac:dyDescent="0.2">
      <c r="C67" t="s">
        <v>869</v>
      </c>
    </row>
    <row r="68" spans="2:4" x14ac:dyDescent="0.2">
      <c r="C68" t="s">
        <v>870</v>
      </c>
    </row>
    <row r="70" spans="2:4" x14ac:dyDescent="0.2">
      <c r="D70" t="s">
        <v>872</v>
      </c>
    </row>
    <row r="71" spans="2:4" x14ac:dyDescent="0.2">
      <c r="D71" t="s">
        <v>873</v>
      </c>
    </row>
    <row r="73" spans="2:4" x14ac:dyDescent="0.2">
      <c r="D73" t="s">
        <v>880</v>
      </c>
    </row>
    <row r="76" spans="2:4" x14ac:dyDescent="0.2">
      <c r="B76" s="48" t="s">
        <v>674</v>
      </c>
    </row>
    <row r="77" spans="2:4" x14ac:dyDescent="0.2">
      <c r="B77" s="48"/>
      <c r="C77" t="s">
        <v>875</v>
      </c>
    </row>
    <row r="78" spans="2:4" x14ac:dyDescent="0.2">
      <c r="B78" s="48"/>
      <c r="C78" t="s">
        <v>782</v>
      </c>
    </row>
    <row r="79" spans="2:4" x14ac:dyDescent="0.2">
      <c r="C79" t="s">
        <v>778</v>
      </c>
    </row>
    <row r="80" spans="2:4" x14ac:dyDescent="0.2">
      <c r="C80" t="s">
        <v>780</v>
      </c>
    </row>
    <row r="82" spans="2:3" x14ac:dyDescent="0.2">
      <c r="C82" t="s">
        <v>876</v>
      </c>
    </row>
    <row r="85" spans="2:3" x14ac:dyDescent="0.2">
      <c r="C85" t="s">
        <v>779</v>
      </c>
    </row>
    <row r="88" spans="2:3" x14ac:dyDescent="0.2">
      <c r="B88" s="48" t="s">
        <v>285</v>
      </c>
    </row>
    <row r="89" spans="2:3" x14ac:dyDescent="0.2">
      <c r="C89" t="s">
        <v>288</v>
      </c>
    </row>
    <row r="90" spans="2:3" x14ac:dyDescent="0.2">
      <c r="C90" s="49" t="s">
        <v>286</v>
      </c>
    </row>
    <row r="91" spans="2:3" x14ac:dyDescent="0.2">
      <c r="C91" t="s">
        <v>287</v>
      </c>
    </row>
    <row r="93" spans="2:3" x14ac:dyDescent="0.2">
      <c r="C93" t="s">
        <v>736</v>
      </c>
    </row>
    <row r="94" spans="2:3" x14ac:dyDescent="0.2">
      <c r="C94" t="s">
        <v>867</v>
      </c>
    </row>
    <row r="96" spans="2:3" x14ac:dyDescent="0.2">
      <c r="C96" t="s">
        <v>738</v>
      </c>
    </row>
    <row r="97" spans="3:7" x14ac:dyDescent="0.2">
      <c r="C97" t="s">
        <v>868</v>
      </c>
    </row>
    <row r="98" spans="3:7" x14ac:dyDescent="0.2">
      <c r="C98" t="s">
        <v>866</v>
      </c>
      <c r="G98" s="49" t="s">
        <v>727</v>
      </c>
    </row>
    <row r="99" spans="3:7" x14ac:dyDescent="0.2">
      <c r="C99" t="s">
        <v>737</v>
      </c>
    </row>
  </sheetData>
  <hyperlinks>
    <hyperlink ref="C90" r:id="rId1" xr:uid="{E8D22BE1-8211-4F04-AC3A-3630E20AC40B}"/>
    <hyperlink ref="C51" r:id="rId2" xr:uid="{BE093069-2189-4710-A21C-18F529D4F333}"/>
    <hyperlink ref="G98" r:id="rId3" xr:uid="{CCD0FADD-DD04-414C-85BC-5D7AD68280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40C1-0903-4611-B4B9-7687C74986E8}">
  <dimension ref="A1:AQ211"/>
  <sheetViews>
    <sheetView topLeftCell="C1" zoomScaleNormal="100" workbookViewId="0">
      <pane ySplit="1" topLeftCell="A77" activePane="bottomLeft" state="frozen"/>
      <selection pane="bottomLeft" activeCell="O81" sqref="O81"/>
    </sheetView>
  </sheetViews>
  <sheetFormatPr baseColWidth="10" defaultColWidth="8.83203125" defaultRowHeight="15" x14ac:dyDescent="0.2"/>
  <cols>
    <col min="1" max="1" width="4" customWidth="1"/>
    <col min="2" max="2" width="33.1640625" customWidth="1"/>
    <col min="3" max="3" width="11" customWidth="1"/>
    <col min="4" max="4" width="6.5" customWidth="1"/>
    <col min="5" max="5" width="11.83203125" customWidth="1"/>
    <col min="6" max="6" width="11.1640625" customWidth="1"/>
    <col min="7" max="8" width="7.5" customWidth="1"/>
    <col min="11" max="11" width="6.5" customWidth="1"/>
    <col min="12" max="12" width="9" customWidth="1"/>
    <col min="15" max="16" width="7" customWidth="1"/>
    <col min="18" max="19" width="4.33203125" customWidth="1"/>
    <col min="20" max="20" width="6.5" customWidth="1"/>
    <col min="21" max="22" width="4.33203125" customWidth="1"/>
    <col min="23" max="23" width="6.33203125" customWidth="1"/>
    <col min="24" max="25" width="3.83203125" customWidth="1"/>
    <col min="26" max="26" width="6.6640625" style="25" customWidth="1"/>
    <col min="27" max="27" width="5.5" customWidth="1"/>
    <col min="28" max="28" width="7.33203125" customWidth="1"/>
    <col min="29" max="29" width="6.33203125" customWidth="1"/>
    <col min="30" max="30" width="5.5" customWidth="1"/>
    <col min="31" max="31" width="4.33203125" customWidth="1"/>
    <col min="32" max="32" width="5.5" customWidth="1"/>
    <col min="33" max="33" width="7.5" customWidth="1"/>
    <col min="34" max="34" width="5.6640625" customWidth="1"/>
    <col min="35" max="35" width="6.83203125" customWidth="1"/>
    <col min="36" max="37" width="7.33203125" customWidth="1"/>
    <col min="38" max="38" width="6.5" customWidth="1"/>
    <col min="39" max="39" width="6" customWidth="1"/>
    <col min="40" max="40" width="8" customWidth="1"/>
    <col min="41" max="41" width="7.5" customWidth="1"/>
  </cols>
  <sheetData>
    <row r="1" spans="1:43" x14ac:dyDescent="0.2">
      <c r="A1" s="1" t="s">
        <v>879</v>
      </c>
      <c r="B1" s="1" t="s">
        <v>4</v>
      </c>
      <c r="C1" s="23" t="s">
        <v>5</v>
      </c>
      <c r="D1" s="3" t="s">
        <v>179</v>
      </c>
      <c r="E1" s="24" t="s">
        <v>6</v>
      </c>
      <c r="F1" s="14" t="s">
        <v>7</v>
      </c>
      <c r="G1" s="14" t="s">
        <v>8</v>
      </c>
      <c r="H1" s="14" t="s">
        <v>283</v>
      </c>
      <c r="I1" s="15" t="s">
        <v>9</v>
      </c>
      <c r="J1" s="14" t="s">
        <v>10</v>
      </c>
      <c r="K1" s="14" t="s">
        <v>8</v>
      </c>
      <c r="L1" s="14" t="s">
        <v>283</v>
      </c>
      <c r="M1" s="15" t="s">
        <v>9</v>
      </c>
      <c r="N1" s="14" t="s">
        <v>11</v>
      </c>
      <c r="O1" s="14" t="s">
        <v>8</v>
      </c>
      <c r="P1" s="14" t="s">
        <v>283</v>
      </c>
      <c r="Q1" s="15" t="s">
        <v>9</v>
      </c>
      <c r="R1" s="14" t="s">
        <v>12</v>
      </c>
      <c r="S1" s="14" t="s">
        <v>8</v>
      </c>
      <c r="T1" s="15" t="s">
        <v>9</v>
      </c>
      <c r="U1" s="14" t="s">
        <v>13</v>
      </c>
      <c r="V1" s="14" t="s">
        <v>8</v>
      </c>
      <c r="W1" s="15" t="s">
        <v>9</v>
      </c>
      <c r="X1" s="14" t="s">
        <v>14</v>
      </c>
      <c r="Y1" s="14" t="s">
        <v>8</v>
      </c>
      <c r="Z1" s="30" t="s">
        <v>9</v>
      </c>
      <c r="AA1" s="14" t="s">
        <v>15</v>
      </c>
      <c r="AB1" s="14" t="s">
        <v>8</v>
      </c>
      <c r="AC1" s="15" t="s">
        <v>9</v>
      </c>
      <c r="AD1" s="14" t="s">
        <v>16</v>
      </c>
      <c r="AE1" s="14" t="s">
        <v>8</v>
      </c>
      <c r="AF1" s="15" t="s">
        <v>9</v>
      </c>
      <c r="AG1" s="18" t="s">
        <v>17</v>
      </c>
      <c r="AH1" s="18" t="s">
        <v>8</v>
      </c>
      <c r="AI1" s="19" t="s">
        <v>18</v>
      </c>
      <c r="AJ1" s="16" t="s">
        <v>19</v>
      </c>
      <c r="AK1" s="16" t="s">
        <v>8</v>
      </c>
      <c r="AL1" s="17" t="s">
        <v>9</v>
      </c>
      <c r="AM1" s="20" t="s">
        <v>20</v>
      </c>
      <c r="AN1" s="21" t="s">
        <v>8</v>
      </c>
      <c r="AO1" s="22" t="s">
        <v>9</v>
      </c>
      <c r="AP1" s="5"/>
      <c r="AQ1" s="47"/>
    </row>
    <row r="2" spans="1:43" x14ac:dyDescent="0.2">
      <c r="A2" s="6">
        <v>2</v>
      </c>
      <c r="B2" s="7" t="s">
        <v>21</v>
      </c>
      <c r="C2" s="8">
        <f t="shared" ref="C2:C34" si="0">SUM(I2,M2,Q2,T2,W2,Z2,AC2,AF2,AI2,AL2,AO2)</f>
        <v>2477.4865100301026</v>
      </c>
      <c r="D2" s="9" t="s">
        <v>22</v>
      </c>
      <c r="E2" s="10">
        <f t="shared" ref="E2:E34" si="1">SUM(I2,M2,Q2,T2,W2,Z2,AC2,AF2)</f>
        <v>2450.0207520301028</v>
      </c>
      <c r="F2" t="s">
        <v>221</v>
      </c>
      <c r="G2" t="s">
        <v>24</v>
      </c>
      <c r="I2" s="26">
        <v>5720</v>
      </c>
      <c r="J2" t="s">
        <v>613</v>
      </c>
      <c r="K2" s="49" t="s">
        <v>273</v>
      </c>
      <c r="L2" s="51" t="s">
        <v>284</v>
      </c>
      <c r="M2" s="26">
        <f>20*-165.914895687551</f>
        <v>-3318.2979137510201</v>
      </c>
      <c r="N2" t="s">
        <v>616</v>
      </c>
      <c r="O2" t="s">
        <v>25</v>
      </c>
      <c r="Q2" s="26">
        <f>15*4.052784</f>
        <v>60.791759999999996</v>
      </c>
      <c r="R2" t="s">
        <v>617</v>
      </c>
      <c r="S2" t="s">
        <v>25</v>
      </c>
      <c r="T2" s="26">
        <f>5*5.638784</f>
        <v>28.193920000000002</v>
      </c>
      <c r="U2" t="s">
        <v>194</v>
      </c>
      <c r="V2" t="s">
        <v>25</v>
      </c>
      <c r="W2" s="26">
        <f>2.5*27.5558</f>
        <v>68.889499999999998</v>
      </c>
      <c r="X2" s="6" t="s">
        <v>26</v>
      </c>
      <c r="Y2" t="s">
        <v>25</v>
      </c>
      <c r="Z2" s="26">
        <f>2.5*(42.29892+-165.914895687551)</f>
        <v>-309.03993921887746</v>
      </c>
      <c r="AA2" s="6" t="s">
        <v>27</v>
      </c>
      <c r="AB2" s="31" t="s">
        <v>25</v>
      </c>
      <c r="AC2" s="26">
        <f>1*126.5862</f>
        <v>126.58620000000001</v>
      </c>
      <c r="AD2" s="6" t="s">
        <v>28</v>
      </c>
      <c r="AE2" s="31" t="s">
        <v>25</v>
      </c>
      <c r="AF2" s="26">
        <f>3*24.299075</f>
        <v>72.897224999999992</v>
      </c>
      <c r="AH2" s="8" t="s">
        <v>25</v>
      </c>
      <c r="AI2" s="27">
        <f>'Yhtiökohtaiset arvot'!D20/(8/8)*2</f>
        <v>18.341824999999996</v>
      </c>
      <c r="AL2" s="27"/>
      <c r="AM2" t="s">
        <v>222</v>
      </c>
      <c r="AN2" s="8" t="s">
        <v>25</v>
      </c>
      <c r="AO2" s="25">
        <f>(400+170)/1000*IF(ISNUMBER('Yhtiökohtaiset arvot'!D25),'Yhtiökohtaiset arvot'!D25,'Yhtiökohtaiset arvot'!B25)*IF(ISNUMBER('Yhtiökohtaiset arvot'!D26),'Yhtiökohtaiset arvot'!D26,'Yhtiökohtaiset arvot'!B26)/1000</f>
        <v>9.1239329999999992</v>
      </c>
      <c r="AP2" s="5"/>
    </row>
    <row r="3" spans="1:43" x14ac:dyDescent="0.2">
      <c r="A3" s="6">
        <v>3</v>
      </c>
      <c r="B3" s="7" t="s">
        <v>29</v>
      </c>
      <c r="C3" s="8">
        <f t="shared" si="0"/>
        <v>7201.7687870301024</v>
      </c>
      <c r="D3" s="9" t="s">
        <v>22</v>
      </c>
      <c r="E3" s="10">
        <f t="shared" si="1"/>
        <v>7169.0207520301019</v>
      </c>
      <c r="F3" t="s">
        <v>220</v>
      </c>
      <c r="G3" t="s">
        <v>24</v>
      </c>
      <c r="I3" s="26">
        <v>10439</v>
      </c>
      <c r="J3" t="s">
        <v>613</v>
      </c>
      <c r="K3" s="49" t="s">
        <v>273</v>
      </c>
      <c r="L3" s="51" t="s">
        <v>284</v>
      </c>
      <c r="M3" s="26">
        <f t="shared" ref="M3:M6" si="2">20*-165.914895687551</f>
        <v>-3318.2979137510201</v>
      </c>
      <c r="N3" t="s">
        <v>616</v>
      </c>
      <c r="O3" t="s">
        <v>25</v>
      </c>
      <c r="Q3" s="26">
        <f t="shared" ref="Q3:Q6" si="3">15*4.052784</f>
        <v>60.791759999999996</v>
      </c>
      <c r="R3" t="s">
        <v>617</v>
      </c>
      <c r="S3" t="s">
        <v>25</v>
      </c>
      <c r="T3" s="26">
        <f t="shared" ref="T3:T6" si="4">5*5.638784</f>
        <v>28.193920000000002</v>
      </c>
      <c r="U3" t="s">
        <v>194</v>
      </c>
      <c r="V3" t="s">
        <v>25</v>
      </c>
      <c r="W3" s="26">
        <f t="shared" ref="W3:W6" si="5">2.5*27.5558</f>
        <v>68.889499999999998</v>
      </c>
      <c r="X3" s="6" t="s">
        <v>26</v>
      </c>
      <c r="Y3" t="s">
        <v>25</v>
      </c>
      <c r="Z3" s="26">
        <f t="shared" ref="Z3:Z6" si="6">2.5*(42.29892+-165.914895687551)</f>
        <v>-309.03993921887746</v>
      </c>
      <c r="AA3" s="6" t="s">
        <v>27</v>
      </c>
      <c r="AB3" s="31" t="s">
        <v>25</v>
      </c>
      <c r="AC3" s="26">
        <f t="shared" ref="AC3:AC6" si="7">1*126.5862</f>
        <v>126.58620000000001</v>
      </c>
      <c r="AD3" s="6" t="s">
        <v>28</v>
      </c>
      <c r="AE3" s="31" t="s">
        <v>25</v>
      </c>
      <c r="AF3" s="26">
        <f t="shared" ref="AF3:AF6" si="8">3*24.299075</f>
        <v>72.897224999999992</v>
      </c>
      <c r="AH3" s="8" t="s">
        <v>25</v>
      </c>
      <c r="AI3" s="27">
        <f>'Yhtiökohtaiset arvot'!D20/(8/8)*2</f>
        <v>18.341824999999996</v>
      </c>
      <c r="AL3" s="27"/>
      <c r="AM3" t="s">
        <v>223</v>
      </c>
      <c r="AN3" s="8" t="s">
        <v>25</v>
      </c>
      <c r="AO3" s="25">
        <f>(730+170)/1000*IF(ISNUMBER('Yhtiökohtaiset arvot'!D25),'Yhtiökohtaiset arvot'!D25,'Yhtiökohtaiset arvot'!B25)*IF(ISNUMBER('Yhtiökohtaiset arvot'!D26),'Yhtiökohtaiset arvot'!D26,'Yhtiökohtaiset arvot'!B26)/1000</f>
        <v>14.406210000000002</v>
      </c>
      <c r="AP3" s="5"/>
    </row>
    <row r="4" spans="1:43" x14ac:dyDescent="0.2">
      <c r="A4" s="6">
        <v>4</v>
      </c>
      <c r="B4" s="7" t="s">
        <v>30</v>
      </c>
      <c r="C4" s="8">
        <f t="shared" si="0"/>
        <v>11067.778946730103</v>
      </c>
      <c r="D4" s="9" t="s">
        <v>22</v>
      </c>
      <c r="E4" s="10">
        <f t="shared" si="1"/>
        <v>11030.020752030103</v>
      </c>
      <c r="F4" t="s">
        <v>23</v>
      </c>
      <c r="G4" t="s">
        <v>24</v>
      </c>
      <c r="I4" s="26">
        <v>14300</v>
      </c>
      <c r="J4" t="s">
        <v>613</v>
      </c>
      <c r="K4" s="49" t="s">
        <v>273</v>
      </c>
      <c r="L4" s="51" t="s">
        <v>284</v>
      </c>
      <c r="M4" s="26">
        <f t="shared" si="2"/>
        <v>-3318.2979137510201</v>
      </c>
      <c r="N4" t="s">
        <v>616</v>
      </c>
      <c r="O4" t="s">
        <v>25</v>
      </c>
      <c r="Q4" s="26">
        <f t="shared" si="3"/>
        <v>60.791759999999996</v>
      </c>
      <c r="R4" t="s">
        <v>617</v>
      </c>
      <c r="S4" t="s">
        <v>25</v>
      </c>
      <c r="T4" s="26">
        <f t="shared" si="4"/>
        <v>28.193920000000002</v>
      </c>
      <c r="U4" t="s">
        <v>194</v>
      </c>
      <c r="V4" t="s">
        <v>25</v>
      </c>
      <c r="W4" s="26">
        <f t="shared" si="5"/>
        <v>68.889499999999998</v>
      </c>
      <c r="X4" s="6" t="s">
        <v>26</v>
      </c>
      <c r="Y4" t="s">
        <v>25</v>
      </c>
      <c r="Z4" s="26">
        <f t="shared" si="6"/>
        <v>-309.03993921887746</v>
      </c>
      <c r="AA4" s="6" t="s">
        <v>27</v>
      </c>
      <c r="AB4" s="31" t="s">
        <v>25</v>
      </c>
      <c r="AC4" s="26">
        <f t="shared" si="7"/>
        <v>126.58620000000001</v>
      </c>
      <c r="AD4" s="6" t="s">
        <v>28</v>
      </c>
      <c r="AE4" s="31" t="s">
        <v>25</v>
      </c>
      <c r="AF4" s="26">
        <f t="shared" si="8"/>
        <v>72.897224999999992</v>
      </c>
      <c r="AH4" s="8" t="s">
        <v>25</v>
      </c>
      <c r="AI4" s="27">
        <f>'Yhtiökohtaiset arvot'!D20/(8/8)*2</f>
        <v>18.341824999999996</v>
      </c>
      <c r="AL4" s="27"/>
      <c r="AM4" t="s">
        <v>224</v>
      </c>
      <c r="AN4" s="8" t="s">
        <v>25</v>
      </c>
      <c r="AO4" s="25">
        <f>(1000+213)/1000*IF(ISNUMBER('Yhtiökohtaiset arvot'!D25),'Yhtiökohtaiset arvot'!D25,'Yhtiökohtaiset arvot'!B25)*IF(ISNUMBER('Yhtiökohtaiset arvot'!D26),'Yhtiökohtaiset arvot'!D26,'Yhtiökohtaiset arvot'!B26)/1000</f>
        <v>19.416369700000004</v>
      </c>
      <c r="AP4" s="5"/>
    </row>
    <row r="5" spans="1:43" x14ac:dyDescent="0.2">
      <c r="A5" s="6">
        <v>5</v>
      </c>
      <c r="B5" s="196" t="s">
        <v>784</v>
      </c>
      <c r="C5" s="197">
        <f t="shared" si="0"/>
        <v>0</v>
      </c>
      <c r="D5" s="198" t="s">
        <v>22</v>
      </c>
      <c r="E5" s="199">
        <f t="shared" si="1"/>
        <v>0</v>
      </c>
      <c r="I5" s="26"/>
      <c r="K5" s="49"/>
      <c r="L5" s="51"/>
      <c r="M5" s="26"/>
      <c r="Q5" s="26"/>
      <c r="T5" s="26"/>
      <c r="W5" s="26"/>
      <c r="X5" s="6"/>
      <c r="Z5" s="26"/>
      <c r="AA5" s="6"/>
      <c r="AB5" s="31"/>
      <c r="AC5" s="26"/>
      <c r="AD5" s="6"/>
      <c r="AE5" s="31"/>
      <c r="AF5" s="26"/>
      <c r="AH5" s="8"/>
      <c r="AI5" s="27"/>
      <c r="AL5" s="27"/>
      <c r="AN5" s="8"/>
      <c r="AO5" s="25"/>
      <c r="AP5" s="5"/>
    </row>
    <row r="6" spans="1:43" x14ac:dyDescent="0.2">
      <c r="A6" s="6">
        <v>6</v>
      </c>
      <c r="B6" s="7" t="s">
        <v>31</v>
      </c>
      <c r="C6" s="8">
        <f t="shared" si="0"/>
        <v>18227.879300630109</v>
      </c>
      <c r="D6" s="9" t="s">
        <v>22</v>
      </c>
      <c r="E6" s="10">
        <f t="shared" si="1"/>
        <v>18180.020752030108</v>
      </c>
      <c r="F6" t="s">
        <v>23</v>
      </c>
      <c r="G6" t="s">
        <v>24</v>
      </c>
      <c r="I6" s="26">
        <v>21450</v>
      </c>
      <c r="J6" t="s">
        <v>613</v>
      </c>
      <c r="K6" s="49" t="s">
        <v>273</v>
      </c>
      <c r="L6" s="51" t="s">
        <v>284</v>
      </c>
      <c r="M6" s="26">
        <f t="shared" si="2"/>
        <v>-3318.2979137510201</v>
      </c>
      <c r="N6" t="s">
        <v>616</v>
      </c>
      <c r="O6" t="s">
        <v>25</v>
      </c>
      <c r="Q6" s="26">
        <f t="shared" si="3"/>
        <v>60.791759999999996</v>
      </c>
      <c r="R6" t="s">
        <v>617</v>
      </c>
      <c r="S6" t="s">
        <v>25</v>
      </c>
      <c r="T6" s="26">
        <f t="shared" si="4"/>
        <v>28.193920000000002</v>
      </c>
      <c r="U6" t="s">
        <v>194</v>
      </c>
      <c r="V6" t="s">
        <v>25</v>
      </c>
      <c r="W6" s="26">
        <f t="shared" si="5"/>
        <v>68.889499999999998</v>
      </c>
      <c r="X6" s="6" t="s">
        <v>26</v>
      </c>
      <c r="Y6" t="s">
        <v>25</v>
      </c>
      <c r="Z6" s="26">
        <f t="shared" si="6"/>
        <v>-309.03993921887746</v>
      </c>
      <c r="AA6" s="6" t="s">
        <v>27</v>
      </c>
      <c r="AB6" s="31" t="s">
        <v>25</v>
      </c>
      <c r="AC6" s="26">
        <f t="shared" si="7"/>
        <v>126.58620000000001</v>
      </c>
      <c r="AD6" s="6" t="s">
        <v>28</v>
      </c>
      <c r="AE6" s="31" t="s">
        <v>25</v>
      </c>
      <c r="AF6" s="26">
        <f t="shared" si="8"/>
        <v>72.897224999999992</v>
      </c>
      <c r="AH6" s="8" t="s">
        <v>25</v>
      </c>
      <c r="AI6" s="27">
        <f>'Yhtiökohtaiset arvot'!D20/(8/8)*2</f>
        <v>18.341824999999996</v>
      </c>
      <c r="AL6" s="27"/>
      <c r="AM6" t="s">
        <v>225</v>
      </c>
      <c r="AN6" s="8" t="s">
        <v>25</v>
      </c>
      <c r="AO6" s="25">
        <f>(1500+344)/1000*IF(ISNUMBER('Yhtiökohtaiset arvot'!D25),'Yhtiökohtaiset arvot'!D25,'Yhtiökohtaiset arvot'!B25)*IF(ISNUMBER('Yhtiökohtaiset arvot'!D26),'Yhtiökohtaiset arvot'!D26,'Yhtiökohtaiset arvot'!B26)/1000</f>
        <v>29.516723600000006</v>
      </c>
      <c r="AP6" s="5"/>
    </row>
    <row r="7" spans="1:43" x14ac:dyDescent="0.2">
      <c r="A7" s="6">
        <v>7</v>
      </c>
      <c r="B7" s="7" t="s">
        <v>32</v>
      </c>
      <c r="C7" s="8">
        <f t="shared" si="0"/>
        <v>112.4774768625</v>
      </c>
      <c r="D7" s="9" t="s">
        <v>33</v>
      </c>
      <c r="E7" s="10">
        <f t="shared" si="1"/>
        <v>111.3311128</v>
      </c>
      <c r="F7" t="s">
        <v>34</v>
      </c>
      <c r="G7" t="s">
        <v>25</v>
      </c>
      <c r="I7" s="27">
        <v>86.685599999999994</v>
      </c>
      <c r="J7" s="8" t="s">
        <v>35</v>
      </c>
      <c r="K7" s="8" t="s">
        <v>25</v>
      </c>
      <c r="L7" s="8"/>
      <c r="M7" s="27">
        <f>4*1.5520032</f>
        <v>6.2080127999999997</v>
      </c>
      <c r="N7" s="8" t="s">
        <v>440</v>
      </c>
      <c r="O7" s="8" t="s">
        <v>25</v>
      </c>
      <c r="P7" s="8"/>
      <c r="Q7" s="27">
        <v>18.4375</v>
      </c>
      <c r="R7" s="8"/>
      <c r="S7" s="8"/>
      <c r="T7" s="27"/>
      <c r="U7" s="8"/>
      <c r="V7" s="8"/>
      <c r="W7" s="27"/>
      <c r="X7" s="8"/>
      <c r="Y7" s="8"/>
      <c r="Z7" s="27"/>
      <c r="AA7" s="25"/>
      <c r="AB7" s="25"/>
      <c r="AC7" s="27"/>
      <c r="AD7" s="25"/>
      <c r="AE7" s="25"/>
      <c r="AF7" s="27"/>
      <c r="AG7" s="8"/>
      <c r="AH7" s="8" t="s">
        <v>25</v>
      </c>
      <c r="AI7" s="27">
        <f>'Yhtiökohtaiset arvot'!D20/(8/1)</f>
        <v>1.1463640624999998</v>
      </c>
      <c r="AJ7" s="8"/>
      <c r="AK7" s="25"/>
      <c r="AL7" s="27"/>
      <c r="AM7" s="8"/>
      <c r="AN7" s="8"/>
      <c r="AO7" s="25"/>
      <c r="AP7" s="5"/>
    </row>
    <row r="8" spans="1:43" x14ac:dyDescent="0.2">
      <c r="A8" s="6">
        <v>8</v>
      </c>
      <c r="B8" s="7" t="s">
        <v>37</v>
      </c>
      <c r="C8" s="8">
        <f t="shared" si="0"/>
        <v>136.04301529375002</v>
      </c>
      <c r="D8" s="9" t="s">
        <v>33</v>
      </c>
      <c r="E8" s="10">
        <f t="shared" si="1"/>
        <v>134.32346920000001</v>
      </c>
      <c r="F8" t="s">
        <v>34</v>
      </c>
      <c r="G8" t="s">
        <v>25</v>
      </c>
      <c r="I8" s="27">
        <v>98.376750000000001</v>
      </c>
      <c r="J8" s="8" t="s">
        <v>35</v>
      </c>
      <c r="K8" s="8" t="s">
        <v>25</v>
      </c>
      <c r="L8" s="8"/>
      <c r="M8" s="27">
        <f>4*4.3773048</f>
        <v>17.5092192</v>
      </c>
      <c r="N8" s="8" t="s">
        <v>440</v>
      </c>
      <c r="O8" s="8" t="s">
        <v>25</v>
      </c>
      <c r="P8" s="8"/>
      <c r="Q8" s="27">
        <v>18.4375</v>
      </c>
      <c r="R8" s="8"/>
      <c r="S8" s="8"/>
      <c r="T8" s="27"/>
      <c r="U8" s="8"/>
      <c r="V8" s="8"/>
      <c r="W8" s="27"/>
      <c r="X8" s="8"/>
      <c r="Y8" s="8"/>
      <c r="Z8" s="27"/>
      <c r="AA8" s="25"/>
      <c r="AB8" s="25"/>
      <c r="AC8" s="27"/>
      <c r="AD8" s="25"/>
      <c r="AE8" s="25"/>
      <c r="AF8" s="27"/>
      <c r="AG8" s="8"/>
      <c r="AH8" s="8" t="s">
        <v>25</v>
      </c>
      <c r="AI8" s="27">
        <f>'Yhtiökohtaiset arvot'!D20/(8/1.5)</f>
        <v>1.7195460937499998</v>
      </c>
      <c r="AJ8" s="8"/>
      <c r="AK8" s="8"/>
      <c r="AL8" s="27"/>
      <c r="AM8" s="8"/>
      <c r="AN8" s="8"/>
      <c r="AO8" s="25"/>
      <c r="AP8" s="5"/>
    </row>
    <row r="9" spans="1:43" x14ac:dyDescent="0.2">
      <c r="A9" s="6">
        <v>9</v>
      </c>
      <c r="B9" s="7" t="s">
        <v>38</v>
      </c>
      <c r="C9" s="8">
        <f t="shared" si="0"/>
        <v>161.63724732499998</v>
      </c>
      <c r="D9" s="9" t="s">
        <v>33</v>
      </c>
      <c r="E9" s="10">
        <f t="shared" si="1"/>
        <v>159.34451919999998</v>
      </c>
      <c r="F9" t="s">
        <v>34</v>
      </c>
      <c r="G9" t="s">
        <v>25</v>
      </c>
      <c r="I9" s="27">
        <v>115.20059999999999</v>
      </c>
      <c r="J9" s="8" t="s">
        <v>35</v>
      </c>
      <c r="K9" s="8" t="s">
        <v>25</v>
      </c>
      <c r="L9" s="8"/>
      <c r="M9" s="27">
        <f>4*6.4266048</f>
        <v>25.706419199999999</v>
      </c>
      <c r="N9" s="8" t="s">
        <v>440</v>
      </c>
      <c r="O9" s="8" t="s">
        <v>25</v>
      </c>
      <c r="P9" s="8"/>
      <c r="Q9" s="27">
        <v>18.4375</v>
      </c>
      <c r="R9" s="8"/>
      <c r="S9" s="8"/>
      <c r="T9" s="27"/>
      <c r="U9" s="8"/>
      <c r="V9" s="8"/>
      <c r="W9" s="27"/>
      <c r="X9" s="8"/>
      <c r="Y9" s="8"/>
      <c r="Z9" s="27"/>
      <c r="AA9" s="25"/>
      <c r="AB9" s="25"/>
      <c r="AC9" s="27"/>
      <c r="AD9" s="25"/>
      <c r="AE9" s="25"/>
      <c r="AF9" s="27"/>
      <c r="AG9" s="8"/>
      <c r="AH9" s="8" t="s">
        <v>25</v>
      </c>
      <c r="AI9" s="27">
        <f>'Yhtiökohtaiset arvot'!D20/(8/2)</f>
        <v>2.2927281249999996</v>
      </c>
      <c r="AJ9" s="8"/>
      <c r="AK9" s="8"/>
      <c r="AL9" s="27"/>
      <c r="AM9" s="8"/>
      <c r="AN9" s="8"/>
      <c r="AO9" s="25"/>
      <c r="AP9" s="5"/>
    </row>
    <row r="10" spans="1:43" x14ac:dyDescent="0.2">
      <c r="A10" s="6">
        <v>10</v>
      </c>
      <c r="B10" s="7" t="s">
        <v>39</v>
      </c>
      <c r="C10" s="8">
        <f t="shared" si="0"/>
        <v>211.28132015625002</v>
      </c>
      <c r="D10" s="9" t="s">
        <v>33</v>
      </c>
      <c r="E10" s="10">
        <f t="shared" si="1"/>
        <v>208.41541000000001</v>
      </c>
      <c r="F10" t="s">
        <v>34</v>
      </c>
      <c r="G10" t="s">
        <v>25</v>
      </c>
      <c r="I10" s="27">
        <v>158.82855000000001</v>
      </c>
      <c r="J10" s="8" t="s">
        <v>35</v>
      </c>
      <c r="K10" s="8" t="s">
        <v>25</v>
      </c>
      <c r="L10" s="8"/>
      <c r="M10" s="27">
        <f>4*7.78734</f>
        <v>31.149360000000001</v>
      </c>
      <c r="N10" s="8" t="s">
        <v>440</v>
      </c>
      <c r="O10" s="8" t="s">
        <v>25</v>
      </c>
      <c r="P10" s="8"/>
      <c r="Q10" s="27">
        <v>18.4375</v>
      </c>
      <c r="R10" s="8"/>
      <c r="S10" s="8"/>
      <c r="T10" s="27"/>
      <c r="U10" s="8"/>
      <c r="V10" s="8"/>
      <c r="W10" s="27"/>
      <c r="X10" s="8"/>
      <c r="Y10" s="8"/>
      <c r="Z10" s="27"/>
      <c r="AA10" s="25"/>
      <c r="AB10" s="25"/>
      <c r="AC10" s="27"/>
      <c r="AD10" s="25"/>
      <c r="AE10" s="25"/>
      <c r="AF10" s="27"/>
      <c r="AG10" s="8"/>
      <c r="AH10" s="8" t="s">
        <v>25</v>
      </c>
      <c r="AI10" s="27">
        <f>'Yhtiökohtaiset arvot'!D20/(8/2.5)</f>
        <v>2.8659101562499991</v>
      </c>
      <c r="AJ10" s="8"/>
      <c r="AK10" s="44"/>
      <c r="AL10" s="27"/>
      <c r="AM10" s="8"/>
      <c r="AN10" s="8"/>
      <c r="AO10" s="25"/>
      <c r="AP10" s="5"/>
    </row>
    <row r="11" spans="1:43" x14ac:dyDescent="0.2">
      <c r="A11" s="6">
        <v>11</v>
      </c>
      <c r="B11" s="7" t="s">
        <v>40</v>
      </c>
      <c r="C11" s="8">
        <f t="shared" si="0"/>
        <v>252.37608538750001</v>
      </c>
      <c r="D11" s="9" t="s">
        <v>33</v>
      </c>
      <c r="E11" s="10">
        <f t="shared" si="1"/>
        <v>248.93699320000002</v>
      </c>
      <c r="F11" t="s">
        <v>34</v>
      </c>
      <c r="G11" t="s">
        <v>25</v>
      </c>
      <c r="I11" s="27">
        <v>189.05445</v>
      </c>
      <c r="J11" s="8" t="s">
        <v>35</v>
      </c>
      <c r="K11" s="8" t="s">
        <v>25</v>
      </c>
      <c r="L11" s="8"/>
      <c r="M11" s="27">
        <f>4*10.3612608</f>
        <v>41.445043200000001</v>
      </c>
      <c r="N11" s="8" t="s">
        <v>440</v>
      </c>
      <c r="O11" s="8" t="s">
        <v>25</v>
      </c>
      <c r="P11" s="8"/>
      <c r="Q11" s="27">
        <v>18.4375</v>
      </c>
      <c r="R11" s="8"/>
      <c r="S11" s="8"/>
      <c r="T11" s="27"/>
      <c r="U11" s="8"/>
      <c r="V11" s="8"/>
      <c r="W11" s="27"/>
      <c r="X11" s="8"/>
      <c r="Y11" s="8"/>
      <c r="Z11" s="27"/>
      <c r="AA11" s="25"/>
      <c r="AB11" s="25"/>
      <c r="AC11" s="27"/>
      <c r="AD11" s="25"/>
      <c r="AE11" s="25"/>
      <c r="AF11" s="27"/>
      <c r="AG11" s="8"/>
      <c r="AH11" s="8" t="s">
        <v>25</v>
      </c>
      <c r="AI11" s="27">
        <f>'Yhtiökohtaiset arvot'!D20/(8/3)</f>
        <v>3.4390921874999996</v>
      </c>
      <c r="AJ11" s="8"/>
      <c r="AK11" s="8"/>
      <c r="AL11" s="27"/>
      <c r="AM11" s="8"/>
      <c r="AN11" s="8"/>
      <c r="AO11" s="25"/>
      <c r="AP11" s="5"/>
    </row>
    <row r="12" spans="1:43" x14ac:dyDescent="0.2">
      <c r="A12" s="6">
        <v>17</v>
      </c>
      <c r="B12" s="7" t="s">
        <v>41</v>
      </c>
      <c r="C12" s="8">
        <f t="shared" si="0"/>
        <v>284.61111898750005</v>
      </c>
      <c r="D12" s="9" t="s">
        <v>33</v>
      </c>
      <c r="E12" s="10">
        <f t="shared" si="1"/>
        <v>281.17202680000003</v>
      </c>
      <c r="F12" t="s">
        <v>34</v>
      </c>
      <c r="G12" t="s">
        <v>25</v>
      </c>
      <c r="I12" s="27">
        <v>189.05445</v>
      </c>
      <c r="J12" s="8" t="s">
        <v>35</v>
      </c>
      <c r="K12" s="8" t="s">
        <v>25</v>
      </c>
      <c r="L12" s="8"/>
      <c r="M12" s="27">
        <f>4*18.4200192</f>
        <v>73.680076799999995</v>
      </c>
      <c r="N12" s="8" t="s">
        <v>440</v>
      </c>
      <c r="O12" s="8" t="s">
        <v>25</v>
      </c>
      <c r="P12" s="8"/>
      <c r="Q12" s="27">
        <v>18.4375</v>
      </c>
      <c r="R12" s="8"/>
      <c r="S12" s="8"/>
      <c r="T12" s="27"/>
      <c r="U12" s="8"/>
      <c r="V12" s="8"/>
      <c r="W12" s="27"/>
      <c r="X12" s="8"/>
      <c r="Y12" s="8"/>
      <c r="Z12" s="27"/>
      <c r="AA12" s="25"/>
      <c r="AB12" s="25"/>
      <c r="AC12" s="27"/>
      <c r="AD12" s="25"/>
      <c r="AE12" s="25"/>
      <c r="AF12" s="27"/>
      <c r="AG12" s="8"/>
      <c r="AH12" s="8" t="s">
        <v>25</v>
      </c>
      <c r="AI12" s="27">
        <f>'Yhtiökohtaiset arvot'!D20/(8/3)</f>
        <v>3.4390921874999996</v>
      </c>
      <c r="AJ12" s="8"/>
      <c r="AK12" s="8"/>
      <c r="AL12" s="27"/>
      <c r="AM12" s="8"/>
      <c r="AN12" s="8"/>
      <c r="AO12" s="25"/>
      <c r="AP12" s="5"/>
    </row>
    <row r="13" spans="1:43" x14ac:dyDescent="0.2">
      <c r="A13" s="6">
        <v>18</v>
      </c>
      <c r="B13" s="7" t="s">
        <v>42</v>
      </c>
      <c r="C13" s="8">
        <f t="shared" si="0"/>
        <v>119.3918768625</v>
      </c>
      <c r="D13" s="9" t="s">
        <v>33</v>
      </c>
      <c r="E13" s="10">
        <f t="shared" si="1"/>
        <v>118.2455128</v>
      </c>
      <c r="F13" t="s">
        <v>34</v>
      </c>
      <c r="G13" t="s">
        <v>25</v>
      </c>
      <c r="I13" s="27">
        <v>93.6</v>
      </c>
      <c r="J13" s="8" t="s">
        <v>35</v>
      </c>
      <c r="K13" s="8" t="s">
        <v>25</v>
      </c>
      <c r="L13" s="8"/>
      <c r="M13" s="27">
        <f>4*1.5520032</f>
        <v>6.2080127999999997</v>
      </c>
      <c r="N13" s="8" t="s">
        <v>440</v>
      </c>
      <c r="O13" s="8" t="s">
        <v>25</v>
      </c>
      <c r="P13" s="8"/>
      <c r="Q13" s="27">
        <v>18.4375</v>
      </c>
      <c r="R13" s="8"/>
      <c r="S13" s="8"/>
      <c r="T13" s="27"/>
      <c r="U13" s="8"/>
      <c r="V13" s="8"/>
      <c r="W13" s="27"/>
      <c r="X13" s="8"/>
      <c r="Y13" s="8"/>
      <c r="Z13" s="27"/>
      <c r="AA13" s="25"/>
      <c r="AB13" s="25"/>
      <c r="AC13" s="27"/>
      <c r="AD13" s="25"/>
      <c r="AE13" s="25"/>
      <c r="AF13" s="27"/>
      <c r="AG13" s="8"/>
      <c r="AH13" s="8" t="s">
        <v>25</v>
      </c>
      <c r="AI13" s="27">
        <f>'Yhtiökohtaiset arvot'!D20/(8/1)</f>
        <v>1.1463640624999998</v>
      </c>
      <c r="AJ13" s="8"/>
      <c r="AK13" s="8"/>
      <c r="AL13" s="27"/>
      <c r="AM13" s="8"/>
      <c r="AN13" s="8"/>
      <c r="AO13" s="25"/>
      <c r="AP13" s="5"/>
    </row>
    <row r="14" spans="1:43" x14ac:dyDescent="0.2">
      <c r="A14" s="6">
        <v>19</v>
      </c>
      <c r="B14" s="7" t="s">
        <v>43</v>
      </c>
      <c r="C14" s="8">
        <f t="shared" si="0"/>
        <v>158.96505889375001</v>
      </c>
      <c r="D14" s="9" t="s">
        <v>33</v>
      </c>
      <c r="E14" s="10">
        <f t="shared" si="1"/>
        <v>157.2455128</v>
      </c>
      <c r="F14" t="s">
        <v>34</v>
      </c>
      <c r="G14" t="s">
        <v>25</v>
      </c>
      <c r="I14" s="27">
        <v>132.6</v>
      </c>
      <c r="J14" s="8" t="s">
        <v>35</v>
      </c>
      <c r="K14" s="8" t="s">
        <v>25</v>
      </c>
      <c r="L14" s="8"/>
      <c r="M14" s="27">
        <f>4*1.5520032</f>
        <v>6.2080127999999997</v>
      </c>
      <c r="N14" s="8" t="s">
        <v>440</v>
      </c>
      <c r="O14" s="8" t="s">
        <v>25</v>
      </c>
      <c r="P14" s="8"/>
      <c r="Q14" s="27">
        <v>18.4375</v>
      </c>
      <c r="R14" s="8"/>
      <c r="S14" s="8"/>
      <c r="T14" s="27"/>
      <c r="U14" s="8"/>
      <c r="V14" s="8"/>
      <c r="W14" s="27"/>
      <c r="X14" s="8"/>
      <c r="Y14" s="8"/>
      <c r="Z14" s="27"/>
      <c r="AA14" s="25"/>
      <c r="AB14" s="25"/>
      <c r="AC14" s="27"/>
      <c r="AD14" s="25"/>
      <c r="AE14" s="25"/>
      <c r="AF14" s="27"/>
      <c r="AG14" s="8"/>
      <c r="AH14" s="8" t="s">
        <v>25</v>
      </c>
      <c r="AI14" s="27">
        <f>'Yhtiökohtaiset arvot'!D20/(8/1.5)</f>
        <v>1.7195460937499998</v>
      </c>
      <c r="AJ14" s="8"/>
      <c r="AK14" s="8"/>
      <c r="AL14" s="27"/>
      <c r="AM14" s="8"/>
      <c r="AN14" s="8"/>
      <c r="AO14" s="25"/>
      <c r="AP14" s="5"/>
    </row>
    <row r="15" spans="1:43" x14ac:dyDescent="0.2">
      <c r="A15" s="6">
        <v>20</v>
      </c>
      <c r="B15" s="7" t="s">
        <v>44</v>
      </c>
      <c r="C15" s="8">
        <f t="shared" si="0"/>
        <v>204.63944732499999</v>
      </c>
      <c r="D15" s="9" t="s">
        <v>33</v>
      </c>
      <c r="E15" s="10">
        <f t="shared" si="1"/>
        <v>202.3467192</v>
      </c>
      <c r="F15" t="s">
        <v>34</v>
      </c>
      <c r="G15" t="s">
        <v>25</v>
      </c>
      <c r="I15" s="27">
        <v>166.4</v>
      </c>
      <c r="J15" s="8" t="s">
        <v>35</v>
      </c>
      <c r="K15" s="8" t="s">
        <v>25</v>
      </c>
      <c r="L15" s="8"/>
      <c r="M15" s="27">
        <f>4*4.3773048</f>
        <v>17.5092192</v>
      </c>
      <c r="N15" s="8" t="s">
        <v>440</v>
      </c>
      <c r="O15" s="8" t="s">
        <v>25</v>
      </c>
      <c r="P15" s="8"/>
      <c r="Q15" s="27">
        <v>18.4375</v>
      </c>
      <c r="R15" s="8"/>
      <c r="S15" s="8"/>
      <c r="T15" s="27"/>
      <c r="U15" s="8"/>
      <c r="V15" s="8"/>
      <c r="W15" s="27"/>
      <c r="X15" s="8"/>
      <c r="Y15" s="8"/>
      <c r="Z15" s="27"/>
      <c r="AA15" s="25"/>
      <c r="AB15" s="25"/>
      <c r="AC15" s="27"/>
      <c r="AD15" s="25"/>
      <c r="AE15" s="25"/>
      <c r="AF15" s="27"/>
      <c r="AG15" s="8"/>
      <c r="AH15" s="8" t="s">
        <v>25</v>
      </c>
      <c r="AI15" s="27">
        <f>'Yhtiökohtaiset arvot'!D20/(8/2)</f>
        <v>2.2927281249999996</v>
      </c>
      <c r="AJ15" s="8"/>
      <c r="AK15" s="8"/>
      <c r="AL15" s="27"/>
      <c r="AM15" s="8"/>
      <c r="AN15" s="8"/>
      <c r="AO15" s="25"/>
      <c r="AP15" s="5"/>
    </row>
    <row r="16" spans="1:43" x14ac:dyDescent="0.2">
      <c r="A16" s="6">
        <v>21</v>
      </c>
      <c r="B16" s="7" t="s">
        <v>45</v>
      </c>
      <c r="C16" s="8">
        <f t="shared" si="0"/>
        <v>244.60982935625</v>
      </c>
      <c r="D16" s="9" t="s">
        <v>33</v>
      </c>
      <c r="E16" s="10">
        <f t="shared" si="1"/>
        <v>241.74391919999999</v>
      </c>
      <c r="F16" t="s">
        <v>34</v>
      </c>
      <c r="G16" t="s">
        <v>25</v>
      </c>
      <c r="I16" s="27">
        <v>197.6</v>
      </c>
      <c r="J16" s="8" t="s">
        <v>35</v>
      </c>
      <c r="K16" s="8" t="s">
        <v>25</v>
      </c>
      <c r="L16" s="8"/>
      <c r="M16" s="27">
        <f>4*6.4266048</f>
        <v>25.706419199999999</v>
      </c>
      <c r="N16" s="8" t="s">
        <v>440</v>
      </c>
      <c r="O16" s="8" t="s">
        <v>25</v>
      </c>
      <c r="P16" s="8"/>
      <c r="Q16" s="27">
        <v>18.4375</v>
      </c>
      <c r="R16" s="8"/>
      <c r="S16" s="8"/>
      <c r="T16" s="27"/>
      <c r="U16" s="8"/>
      <c r="V16" s="8"/>
      <c r="W16" s="27"/>
      <c r="X16" s="8"/>
      <c r="Y16" s="8"/>
      <c r="Z16" s="27"/>
      <c r="AA16" s="25"/>
      <c r="AB16" s="25"/>
      <c r="AC16" s="27"/>
      <c r="AD16" s="25"/>
      <c r="AE16" s="25"/>
      <c r="AF16" s="27"/>
      <c r="AG16" s="8"/>
      <c r="AH16" s="8" t="s">
        <v>25</v>
      </c>
      <c r="AI16" s="27">
        <f>'Yhtiökohtaiset arvot'!D20/(8/2.5)</f>
        <v>2.8659101562499991</v>
      </c>
      <c r="AJ16" s="8"/>
      <c r="AK16" s="8"/>
      <c r="AL16" s="27"/>
      <c r="AM16" s="8"/>
      <c r="AN16" s="8"/>
      <c r="AO16" s="25"/>
      <c r="AP16" s="5"/>
    </row>
    <row r="17" spans="1:42" x14ac:dyDescent="0.2">
      <c r="A17" s="6">
        <v>22</v>
      </c>
      <c r="B17" s="7" t="s">
        <v>46</v>
      </c>
      <c r="C17" s="8">
        <f t="shared" si="0"/>
        <v>281.82595218750004</v>
      </c>
      <c r="D17" s="9" t="s">
        <v>33</v>
      </c>
      <c r="E17" s="10">
        <f t="shared" si="1"/>
        <v>278.38686000000001</v>
      </c>
      <c r="F17" t="s">
        <v>34</v>
      </c>
      <c r="G17" t="s">
        <v>25</v>
      </c>
      <c r="I17" s="27">
        <v>228.8</v>
      </c>
      <c r="J17" s="8" t="s">
        <v>35</v>
      </c>
      <c r="K17" s="8" t="s">
        <v>25</v>
      </c>
      <c r="L17" s="8"/>
      <c r="M17" s="27">
        <f>4*7.78734</f>
        <v>31.149360000000001</v>
      </c>
      <c r="N17" s="8" t="s">
        <v>440</v>
      </c>
      <c r="O17" s="8" t="s">
        <v>25</v>
      </c>
      <c r="P17" s="8"/>
      <c r="Q17" s="27">
        <v>18.4375</v>
      </c>
      <c r="R17" s="8"/>
      <c r="S17" s="8"/>
      <c r="T17" s="27"/>
      <c r="U17" s="8"/>
      <c r="V17" s="8"/>
      <c r="W17" s="27"/>
      <c r="X17" s="8"/>
      <c r="Y17" s="8"/>
      <c r="Z17" s="27"/>
      <c r="AA17" s="25"/>
      <c r="AB17" s="25"/>
      <c r="AC17" s="27"/>
      <c r="AD17" s="25"/>
      <c r="AE17" s="25"/>
      <c r="AF17" s="27"/>
      <c r="AG17" s="8"/>
      <c r="AH17" s="8" t="s">
        <v>25</v>
      </c>
      <c r="AI17" s="27">
        <f>'Yhtiökohtaiset arvot'!D20/(8/3)</f>
        <v>3.4390921874999996</v>
      </c>
      <c r="AJ17" s="8"/>
      <c r="AK17" s="8"/>
      <c r="AL17" s="27"/>
      <c r="AM17" s="8"/>
      <c r="AN17" s="8"/>
      <c r="AO17" s="25"/>
      <c r="AP17" s="5"/>
    </row>
    <row r="18" spans="1:42" x14ac:dyDescent="0.2">
      <c r="A18" s="6">
        <v>23</v>
      </c>
      <c r="B18" s="7" t="s">
        <v>47</v>
      </c>
      <c r="C18" s="8">
        <f t="shared" si="0"/>
        <v>336.32163538750001</v>
      </c>
      <c r="D18" s="9" t="s">
        <v>33</v>
      </c>
      <c r="E18" s="10">
        <f t="shared" si="1"/>
        <v>332.88254319999999</v>
      </c>
      <c r="F18" t="s">
        <v>34</v>
      </c>
      <c r="G18" t="s">
        <v>25</v>
      </c>
      <c r="I18" s="27">
        <v>273</v>
      </c>
      <c r="J18" s="8" t="s">
        <v>35</v>
      </c>
      <c r="K18" s="8" t="s">
        <v>25</v>
      </c>
      <c r="L18" s="8"/>
      <c r="M18" s="27">
        <f>4*10.3612608</f>
        <v>41.445043200000001</v>
      </c>
      <c r="N18" s="8" t="s">
        <v>440</v>
      </c>
      <c r="O18" s="8" t="s">
        <v>25</v>
      </c>
      <c r="P18" s="8"/>
      <c r="Q18" s="27">
        <v>18.4375</v>
      </c>
      <c r="R18" s="8"/>
      <c r="S18" s="8"/>
      <c r="T18" s="27"/>
      <c r="U18" s="8"/>
      <c r="V18" s="8"/>
      <c r="W18" s="27"/>
      <c r="X18" s="8"/>
      <c r="Y18" s="8"/>
      <c r="Z18" s="27"/>
      <c r="AA18" s="25"/>
      <c r="AB18" s="25"/>
      <c r="AC18" s="27"/>
      <c r="AD18" s="25"/>
      <c r="AE18" s="25"/>
      <c r="AF18" s="27"/>
      <c r="AG18" s="8"/>
      <c r="AH18" s="8" t="s">
        <v>25</v>
      </c>
      <c r="AI18" s="27">
        <f>'Yhtiökohtaiset arvot'!D20/(8/3)</f>
        <v>3.4390921874999996</v>
      </c>
      <c r="AJ18" s="8"/>
      <c r="AK18" s="8"/>
      <c r="AL18" s="27"/>
      <c r="AM18" s="8"/>
      <c r="AN18" s="8"/>
      <c r="AO18" s="25"/>
      <c r="AP18" s="5"/>
    </row>
    <row r="19" spans="1:42" x14ac:dyDescent="0.2">
      <c r="A19" s="6">
        <v>29</v>
      </c>
      <c r="B19" s="7" t="s">
        <v>48</v>
      </c>
      <c r="C19" s="8">
        <f t="shared" si="0"/>
        <v>368.55666898750002</v>
      </c>
      <c r="D19" s="9" t="s">
        <v>33</v>
      </c>
      <c r="E19" s="10">
        <f t="shared" si="1"/>
        <v>365.11757679999999</v>
      </c>
      <c r="F19" t="s">
        <v>34</v>
      </c>
      <c r="G19" t="s">
        <v>25</v>
      </c>
      <c r="I19" s="27">
        <v>273</v>
      </c>
      <c r="J19" s="8" t="s">
        <v>35</v>
      </c>
      <c r="K19" s="8" t="s">
        <v>25</v>
      </c>
      <c r="L19" s="8"/>
      <c r="M19" s="27">
        <f>4*18.4200192</f>
        <v>73.680076799999995</v>
      </c>
      <c r="N19" s="8" t="s">
        <v>440</v>
      </c>
      <c r="O19" s="8" t="s">
        <v>25</v>
      </c>
      <c r="P19" s="8"/>
      <c r="Q19" s="27">
        <v>18.4375</v>
      </c>
      <c r="R19" s="8"/>
      <c r="S19" s="8"/>
      <c r="T19" s="27"/>
      <c r="U19" s="8"/>
      <c r="V19" s="8"/>
      <c r="W19" s="27"/>
      <c r="X19" s="8"/>
      <c r="Y19" s="8"/>
      <c r="Z19" s="27"/>
      <c r="AA19" s="25"/>
      <c r="AB19" s="25"/>
      <c r="AC19" s="27"/>
      <c r="AD19" s="25"/>
      <c r="AE19" s="25"/>
      <c r="AF19" s="27"/>
      <c r="AG19" s="8"/>
      <c r="AH19" s="8" t="s">
        <v>25</v>
      </c>
      <c r="AI19" s="27">
        <f>'Yhtiökohtaiset arvot'!D20/(8/3)</f>
        <v>3.4390921874999996</v>
      </c>
      <c r="AJ19" s="8"/>
      <c r="AK19" s="8"/>
      <c r="AL19" s="27"/>
      <c r="AM19" s="8"/>
      <c r="AN19" s="8"/>
      <c r="AO19" s="25"/>
      <c r="AP19" s="5"/>
    </row>
    <row r="20" spans="1:42" x14ac:dyDescent="0.2">
      <c r="A20" s="6">
        <v>30</v>
      </c>
      <c r="B20" s="7" t="s">
        <v>49</v>
      </c>
      <c r="C20" s="8">
        <f t="shared" si="0"/>
        <v>1853.0523332</v>
      </c>
      <c r="D20" s="9" t="s">
        <v>22</v>
      </c>
      <c r="E20" s="10">
        <f t="shared" si="1"/>
        <v>1843</v>
      </c>
      <c r="F20" t="s">
        <v>50</v>
      </c>
      <c r="G20" s="49" t="s">
        <v>276</v>
      </c>
      <c r="H20" s="51" t="s">
        <v>284</v>
      </c>
      <c r="I20" s="27">
        <v>1843</v>
      </c>
      <c r="J20" s="8"/>
      <c r="K20" s="8"/>
      <c r="L20" s="8"/>
      <c r="M20" s="27"/>
      <c r="N20" s="8"/>
      <c r="O20" s="8"/>
      <c r="P20" s="8"/>
      <c r="Q20" s="27"/>
      <c r="R20" s="8"/>
      <c r="S20" s="8"/>
      <c r="T20" s="27"/>
      <c r="U20" s="8"/>
      <c r="V20" s="8"/>
      <c r="W20" s="27"/>
      <c r="X20" s="8"/>
      <c r="Y20" s="8"/>
      <c r="Z20" s="27"/>
      <c r="AA20" s="25"/>
      <c r="AB20" s="25"/>
      <c r="AC20" s="27"/>
      <c r="AD20" s="25"/>
      <c r="AE20" s="25"/>
      <c r="AF20" s="27"/>
      <c r="AG20" s="8"/>
      <c r="AH20" s="8"/>
      <c r="AI20" s="27"/>
      <c r="AJ20" s="8"/>
      <c r="AK20" s="8"/>
      <c r="AL20" s="27"/>
      <c r="AM20" s="8" t="s">
        <v>226</v>
      </c>
      <c r="AN20" s="8" t="s">
        <v>25</v>
      </c>
      <c r="AO20" s="25">
        <f>(458+170)/1000*IF(ISNUMBER('Yhtiökohtaiset arvot'!D25),'Yhtiökohtaiset arvot'!D25,'Yhtiökohtaiset arvot'!B25)*IF(ISNUMBER('Yhtiökohtaiset arvot'!D26),'Yhtiökohtaiset arvot'!D26,'Yhtiökohtaiset arvot'!B26)/1000</f>
        <v>10.052333200000001</v>
      </c>
      <c r="AP20" s="5"/>
    </row>
    <row r="21" spans="1:42" x14ac:dyDescent="0.2">
      <c r="A21" s="6">
        <v>31</v>
      </c>
      <c r="B21" s="7" t="s">
        <v>51</v>
      </c>
      <c r="C21" s="8">
        <f t="shared" si="0"/>
        <v>3707.8611129000001</v>
      </c>
      <c r="D21" s="9" t="s">
        <v>22</v>
      </c>
      <c r="E21" s="10">
        <f t="shared" si="1"/>
        <v>3696</v>
      </c>
      <c r="F21" t="s">
        <v>50</v>
      </c>
      <c r="G21" s="49" t="s">
        <v>276</v>
      </c>
      <c r="H21" s="51" t="s">
        <v>284</v>
      </c>
      <c r="I21" s="27">
        <v>3696</v>
      </c>
      <c r="J21" s="8"/>
      <c r="K21" s="8"/>
      <c r="L21" s="8"/>
      <c r="M21" s="27"/>
      <c r="N21" s="8"/>
      <c r="O21" s="8"/>
      <c r="P21" s="8"/>
      <c r="Q21" s="27"/>
      <c r="R21" s="8"/>
      <c r="S21" s="8"/>
      <c r="T21" s="27"/>
      <c r="U21" s="8"/>
      <c r="V21" s="8"/>
      <c r="W21" s="27"/>
      <c r="X21" s="8"/>
      <c r="Y21" s="8"/>
      <c r="Z21" s="27"/>
      <c r="AA21" s="25"/>
      <c r="AB21" s="25"/>
      <c r="AC21" s="27"/>
      <c r="AD21" s="25"/>
      <c r="AE21" s="25"/>
      <c r="AF21" s="27"/>
      <c r="AG21" s="8"/>
      <c r="AH21" s="8"/>
      <c r="AI21" s="27"/>
      <c r="AJ21" s="8"/>
      <c r="AK21" s="8"/>
      <c r="AL21" s="27"/>
      <c r="AM21" s="8" t="s">
        <v>227</v>
      </c>
      <c r="AN21" s="8" t="s">
        <v>25</v>
      </c>
      <c r="AO21" s="25">
        <f>(571+170)/1000*IF(ISNUMBER('Yhtiökohtaiset arvot'!D25),'Yhtiökohtaiset arvot'!D25,'Yhtiökohtaiset arvot'!B25)*IF(ISNUMBER('Yhtiökohtaiset arvot'!D26),'Yhtiökohtaiset arvot'!D26,'Yhtiökohtaiset arvot'!B26)/1000</f>
        <v>11.8611129</v>
      </c>
      <c r="AP21" s="5"/>
    </row>
    <row r="22" spans="1:42" x14ac:dyDescent="0.2">
      <c r="A22" s="6">
        <v>32</v>
      </c>
      <c r="B22" s="7" t="s">
        <v>52</v>
      </c>
      <c r="C22" s="8">
        <f t="shared" si="0"/>
        <v>5124.9664515000004</v>
      </c>
      <c r="D22" s="9" t="s">
        <v>22</v>
      </c>
      <c r="E22" s="10">
        <f t="shared" si="1"/>
        <v>5110</v>
      </c>
      <c r="F22" t="s">
        <v>50</v>
      </c>
      <c r="G22" s="49" t="s">
        <v>276</v>
      </c>
      <c r="H22" s="51" t="s">
        <v>284</v>
      </c>
      <c r="I22" s="27">
        <v>5110</v>
      </c>
      <c r="J22" s="8"/>
      <c r="K22" s="8"/>
      <c r="L22" s="8"/>
      <c r="M22" s="27"/>
      <c r="N22" s="8"/>
      <c r="O22" s="8"/>
      <c r="P22" s="8"/>
      <c r="Q22" s="27"/>
      <c r="R22" s="8"/>
      <c r="S22" s="8"/>
      <c r="T22" s="27"/>
      <c r="U22" s="8"/>
      <c r="V22" s="8"/>
      <c r="W22" s="27"/>
      <c r="X22" s="8"/>
      <c r="Y22" s="8"/>
      <c r="Z22" s="27"/>
      <c r="AA22" s="25"/>
      <c r="AB22" s="25"/>
      <c r="AC22" s="27"/>
      <c r="AD22" s="25"/>
      <c r="AE22" s="25"/>
      <c r="AF22" s="27"/>
      <c r="AG22" s="8"/>
      <c r="AH22" s="8"/>
      <c r="AI22" s="27"/>
      <c r="AJ22" s="8"/>
      <c r="AK22" s="8"/>
      <c r="AL22" s="27"/>
      <c r="AM22" s="8" t="s">
        <v>228</v>
      </c>
      <c r="AN22" s="8" t="s">
        <v>25</v>
      </c>
      <c r="AO22" s="25">
        <f>(765+170)/1000*IF(ISNUMBER('Yhtiökohtaiset arvot'!D25),'Yhtiökohtaiset arvot'!D25,'Yhtiökohtaiset arvot'!B25)*IF(ISNUMBER('Yhtiökohtaiset arvot'!D26),'Yhtiökohtaiset arvot'!D26,'Yhtiökohtaiset arvot'!B26)/1000</f>
        <v>14.966451500000002</v>
      </c>
      <c r="AP22" s="5"/>
    </row>
    <row r="23" spans="1:42" x14ac:dyDescent="0.2">
      <c r="A23" s="6">
        <v>33</v>
      </c>
      <c r="B23" s="7" t="s">
        <v>53</v>
      </c>
      <c r="C23" s="8">
        <f t="shared" si="0"/>
        <v>7249.3127561000001</v>
      </c>
      <c r="D23" s="9" t="s">
        <v>22</v>
      </c>
      <c r="E23" s="10">
        <f t="shared" si="1"/>
        <v>7229</v>
      </c>
      <c r="F23" t="s">
        <v>50</v>
      </c>
      <c r="G23" s="49" t="s">
        <v>276</v>
      </c>
      <c r="H23" s="51" t="s">
        <v>284</v>
      </c>
      <c r="I23" s="27">
        <v>7229</v>
      </c>
      <c r="J23" s="8"/>
      <c r="K23" s="8"/>
      <c r="L23" s="8"/>
      <c r="M23" s="27"/>
      <c r="N23" s="8"/>
      <c r="O23" s="8"/>
      <c r="P23" s="8"/>
      <c r="Q23" s="27"/>
      <c r="R23" s="8"/>
      <c r="S23" s="8"/>
      <c r="T23" s="27"/>
      <c r="U23" s="8"/>
      <c r="V23" s="8"/>
      <c r="W23" s="27"/>
      <c r="X23" s="8"/>
      <c r="Y23" s="8"/>
      <c r="Z23" s="27"/>
      <c r="AA23" s="25"/>
      <c r="AB23" s="25"/>
      <c r="AC23" s="27"/>
      <c r="AD23" s="25"/>
      <c r="AE23" s="25"/>
      <c r="AF23" s="27"/>
      <c r="AG23" s="8"/>
      <c r="AH23" s="8"/>
      <c r="AI23" s="27"/>
      <c r="AJ23" s="8"/>
      <c r="AK23" s="8"/>
      <c r="AL23" s="27"/>
      <c r="AM23" s="8" t="s">
        <v>229</v>
      </c>
      <c r="AN23" s="8" t="s">
        <v>25</v>
      </c>
      <c r="AO23" s="25">
        <f>(1056+213)/1000*IF(ISNUMBER('Yhtiökohtaiset arvot'!D25),'Yhtiökohtaiset arvot'!D25,'Yhtiökohtaiset arvot'!B25)*IF(ISNUMBER('Yhtiökohtaiset arvot'!D26),'Yhtiökohtaiset arvot'!D26,'Yhtiökohtaiset arvot'!B26)/1000</f>
        <v>20.312756100000001</v>
      </c>
      <c r="AP23" s="5"/>
    </row>
    <row r="24" spans="1:42" x14ac:dyDescent="0.2">
      <c r="A24" s="6">
        <v>34</v>
      </c>
      <c r="B24" s="7" t="s">
        <v>54</v>
      </c>
      <c r="C24" s="8">
        <f t="shared" si="0"/>
        <v>9674.8115574999993</v>
      </c>
      <c r="D24" s="9" t="s">
        <v>22</v>
      </c>
      <c r="E24" s="10">
        <f t="shared" si="1"/>
        <v>9648</v>
      </c>
      <c r="F24" t="s">
        <v>50</v>
      </c>
      <c r="G24" s="49" t="s">
        <v>276</v>
      </c>
      <c r="H24" s="51" t="s">
        <v>284</v>
      </c>
      <c r="I24" s="27">
        <v>9648</v>
      </c>
      <c r="J24" s="8"/>
      <c r="K24" s="8"/>
      <c r="L24" s="8"/>
      <c r="M24" s="27"/>
      <c r="N24" s="8"/>
      <c r="O24" s="8"/>
      <c r="P24" s="8"/>
      <c r="Q24" s="27"/>
      <c r="R24" s="8"/>
      <c r="S24" s="8"/>
      <c r="T24" s="27"/>
      <c r="U24" s="8"/>
      <c r="V24" s="8"/>
      <c r="W24" s="27"/>
      <c r="X24" s="8"/>
      <c r="Y24" s="8"/>
      <c r="Z24" s="27"/>
      <c r="AA24" s="25"/>
      <c r="AB24" s="25"/>
      <c r="AC24" s="27"/>
      <c r="AD24" s="25"/>
      <c r="AE24" s="25"/>
      <c r="AF24" s="27"/>
      <c r="AG24" s="8"/>
      <c r="AH24" s="8"/>
      <c r="AI24" s="27"/>
      <c r="AJ24" s="8"/>
      <c r="AK24" s="8"/>
      <c r="AL24" s="27"/>
      <c r="AM24" s="8" t="s">
        <v>230</v>
      </c>
      <c r="AN24" s="8" t="s">
        <v>25</v>
      </c>
      <c r="AO24" s="25">
        <f>(1385+290)/1000*IF(ISNUMBER('Yhtiökohtaiset arvot'!D25),'Yhtiökohtaiset arvot'!D25,'Yhtiökohtaiset arvot'!B25)*IF(ISNUMBER('Yhtiökohtaiset arvot'!D26),'Yhtiökohtaiset arvot'!D26,'Yhtiökohtaiset arvot'!B26)/1000</f>
        <v>26.811557500000003</v>
      </c>
      <c r="AP24" s="5"/>
    </row>
    <row r="25" spans="1:42" x14ac:dyDescent="0.2">
      <c r="A25" s="6">
        <v>35</v>
      </c>
      <c r="B25" s="7" t="s">
        <v>55</v>
      </c>
      <c r="C25" s="8">
        <f t="shared" si="0"/>
        <v>12266.4064003</v>
      </c>
      <c r="D25" s="9" t="s">
        <v>22</v>
      </c>
      <c r="E25" s="10">
        <f t="shared" si="1"/>
        <v>12233</v>
      </c>
      <c r="F25" t="s">
        <v>50</v>
      </c>
      <c r="G25" s="49" t="s">
        <v>276</v>
      </c>
      <c r="H25" s="51" t="s">
        <v>284</v>
      </c>
      <c r="I25" s="27">
        <v>12233</v>
      </c>
      <c r="J25" s="8"/>
      <c r="K25" s="8"/>
      <c r="L25" s="8"/>
      <c r="M25" s="27"/>
      <c r="N25" s="8"/>
      <c r="O25" s="8"/>
      <c r="P25" s="8"/>
      <c r="Q25" s="27"/>
      <c r="R25" s="8"/>
      <c r="S25" s="8"/>
      <c r="T25" s="27"/>
      <c r="U25" s="8"/>
      <c r="V25" s="8"/>
      <c r="W25" s="27"/>
      <c r="X25" s="8"/>
      <c r="Y25" s="8"/>
      <c r="Z25" s="27"/>
      <c r="AA25" s="25"/>
      <c r="AB25" s="25"/>
      <c r="AC25" s="27"/>
      <c r="AD25" s="25"/>
      <c r="AE25" s="25"/>
      <c r="AF25" s="27"/>
      <c r="AG25" s="8"/>
      <c r="AH25" s="8"/>
      <c r="AI25" s="27"/>
      <c r="AJ25" s="8"/>
      <c r="AK25" s="8"/>
      <c r="AL25" s="27"/>
      <c r="AM25" s="8" t="s">
        <v>231</v>
      </c>
      <c r="AN25" s="8" t="s">
        <v>25</v>
      </c>
      <c r="AO25" s="25">
        <f>(1743+344)/1000*IF(ISNUMBER('Yhtiökohtaiset arvot'!D25),'Yhtiökohtaiset arvot'!D25,'Yhtiökohtaiset arvot'!B25)*IF(ISNUMBER('Yhtiökohtaiset arvot'!D26),'Yhtiökohtaiset arvot'!D26,'Yhtiökohtaiset arvot'!B26)/1000</f>
        <v>33.406400300000008</v>
      </c>
      <c r="AP25" s="5"/>
    </row>
    <row r="26" spans="1:42" x14ac:dyDescent="0.2">
      <c r="A26" s="6">
        <v>36</v>
      </c>
      <c r="B26" s="7" t="s">
        <v>56</v>
      </c>
      <c r="C26" s="8">
        <f t="shared" si="0"/>
        <v>15193.5067542</v>
      </c>
      <c r="D26" s="9" t="s">
        <v>22</v>
      </c>
      <c r="E26" s="10">
        <f t="shared" si="1"/>
        <v>15150</v>
      </c>
      <c r="F26" t="s">
        <v>50</v>
      </c>
      <c r="G26" s="49" t="s">
        <v>276</v>
      </c>
      <c r="H26" s="51" t="s">
        <v>284</v>
      </c>
      <c r="I26" s="27">
        <v>15150</v>
      </c>
      <c r="J26" s="8"/>
      <c r="K26" s="8"/>
      <c r="L26" s="8"/>
      <c r="M26" s="27"/>
      <c r="N26" s="8"/>
      <c r="O26" s="8"/>
      <c r="P26" s="8"/>
      <c r="Q26" s="27"/>
      <c r="R26" s="8"/>
      <c r="S26" s="8"/>
      <c r="T26" s="27"/>
      <c r="U26" s="8"/>
      <c r="V26" s="8"/>
      <c r="W26" s="27"/>
      <c r="X26" s="8"/>
      <c r="Y26" s="8"/>
      <c r="Z26" s="27"/>
      <c r="AA26" s="25"/>
      <c r="AB26" s="25"/>
      <c r="AC26" s="27"/>
      <c r="AD26" s="25"/>
      <c r="AE26" s="25"/>
      <c r="AF26" s="27"/>
      <c r="AG26" s="8"/>
      <c r="AH26" s="8"/>
      <c r="AI26" s="27"/>
      <c r="AJ26" s="8"/>
      <c r="AK26" s="8"/>
      <c r="AL26" s="27"/>
      <c r="AM26" s="8" t="s">
        <v>232</v>
      </c>
      <c r="AN26" s="8" t="s">
        <v>25</v>
      </c>
      <c r="AO26" s="25">
        <f>(2138+2*290)/1000*IF(ISNUMBER('Yhtiökohtaiset arvot'!D25),'Yhtiökohtaiset arvot'!D25,'Yhtiökohtaiset arvot'!B25)*IF(ISNUMBER('Yhtiökohtaiset arvot'!D26),'Yhtiökohtaiset arvot'!D26,'Yhtiökohtaiset arvot'!B26)/1000</f>
        <v>43.506754200000003</v>
      </c>
      <c r="AP26" s="5"/>
    </row>
    <row r="27" spans="1:42" x14ac:dyDescent="0.2">
      <c r="A27" s="6">
        <v>37</v>
      </c>
      <c r="B27" s="7" t="s">
        <v>57</v>
      </c>
      <c r="C27" s="8">
        <f t="shared" si="0"/>
        <v>18632.758742400001</v>
      </c>
      <c r="D27" s="9" t="s">
        <v>22</v>
      </c>
      <c r="E27" s="10">
        <f t="shared" si="1"/>
        <v>18580</v>
      </c>
      <c r="F27" t="s">
        <v>50</v>
      </c>
      <c r="G27" s="49" t="s">
        <v>276</v>
      </c>
      <c r="H27" s="51" t="s">
        <v>284</v>
      </c>
      <c r="I27" s="27">
        <v>18580</v>
      </c>
      <c r="J27" s="8"/>
      <c r="K27" s="8"/>
      <c r="L27" s="8"/>
      <c r="M27" s="27"/>
      <c r="N27" s="8"/>
      <c r="O27" s="8"/>
      <c r="P27" s="8"/>
      <c r="Q27" s="27"/>
      <c r="R27" s="8"/>
      <c r="S27" s="8"/>
      <c r="T27" s="27"/>
      <c r="U27" s="8"/>
      <c r="V27" s="8"/>
      <c r="W27" s="27"/>
      <c r="X27" s="8"/>
      <c r="Y27" s="8"/>
      <c r="Z27" s="27"/>
      <c r="AA27" s="25"/>
      <c r="AB27" s="25"/>
      <c r="AC27" s="27"/>
      <c r="AD27" s="25"/>
      <c r="AE27" s="25"/>
      <c r="AF27" s="27"/>
      <c r="AG27" s="8"/>
      <c r="AH27" s="8"/>
      <c r="AI27" s="27"/>
      <c r="AJ27" s="8"/>
      <c r="AK27" s="8"/>
      <c r="AL27" s="27"/>
      <c r="AM27" s="8" t="s">
        <v>233</v>
      </c>
      <c r="AN27" s="8" t="s">
        <v>25</v>
      </c>
      <c r="AO27" s="25">
        <f>(2608+2*344)/1000*IF(ISNUMBER('Yhtiökohtaiset arvot'!D25),'Yhtiökohtaiset arvot'!D25,'Yhtiökohtaiset arvot'!B25)*IF(ISNUMBER('Yhtiökohtaiset arvot'!D26),'Yhtiökohtaiset arvot'!D26,'Yhtiökohtaiset arvot'!B26)/1000</f>
        <v>52.758742400000003</v>
      </c>
      <c r="AP27" s="5"/>
    </row>
    <row r="28" spans="1:42" x14ac:dyDescent="0.2">
      <c r="A28" s="6">
        <v>38</v>
      </c>
      <c r="B28" s="7" t="s">
        <v>58</v>
      </c>
      <c r="C28" s="8">
        <f t="shared" si="0"/>
        <v>24764.1885315</v>
      </c>
      <c r="D28" s="9" t="s">
        <v>22</v>
      </c>
      <c r="E28" s="10">
        <f t="shared" si="1"/>
        <v>24698</v>
      </c>
      <c r="F28" t="s">
        <v>50</v>
      </c>
      <c r="G28" s="49" t="s">
        <v>276</v>
      </c>
      <c r="H28" s="51" t="s">
        <v>284</v>
      </c>
      <c r="I28" s="27">
        <v>24698</v>
      </c>
      <c r="J28" s="8"/>
      <c r="K28" s="8"/>
      <c r="L28" s="8"/>
      <c r="M28" s="27"/>
      <c r="N28" s="8"/>
      <c r="O28" s="8"/>
      <c r="P28" s="8"/>
      <c r="Q28" s="27"/>
      <c r="R28" s="8"/>
      <c r="S28" s="8"/>
      <c r="T28" s="27"/>
      <c r="U28" s="8"/>
      <c r="V28" s="8"/>
      <c r="W28" s="27"/>
      <c r="X28" s="8"/>
      <c r="Y28" s="8"/>
      <c r="Z28" s="27"/>
      <c r="AA28" s="25"/>
      <c r="AB28" s="25"/>
      <c r="AC28" s="27"/>
      <c r="AD28" s="25"/>
      <c r="AE28" s="25"/>
      <c r="AF28" s="27"/>
      <c r="AG28" s="8"/>
      <c r="AH28" s="8"/>
      <c r="AI28" s="27"/>
      <c r="AJ28" s="8"/>
      <c r="AK28" s="8"/>
      <c r="AL28" s="27"/>
      <c r="AM28" s="8" t="s">
        <v>234</v>
      </c>
      <c r="AN28" s="8" t="s">
        <v>25</v>
      </c>
      <c r="AO28" s="25">
        <f>(3447+2*344)/1000*IF(ISNUMBER('Yhtiökohtaiset arvot'!D25),'Yhtiökohtaiset arvot'!D25,'Yhtiökohtaiset arvot'!B25)*IF(ISNUMBER('Yhtiökohtaiset arvot'!D26),'Yhtiökohtaiset arvot'!D26,'Yhtiökohtaiset arvot'!B26)/1000</f>
        <v>66.188531500000011</v>
      </c>
      <c r="AP28" s="5"/>
    </row>
    <row r="29" spans="1:42" x14ac:dyDescent="0.2">
      <c r="A29" s="6">
        <v>39</v>
      </c>
      <c r="B29" s="7" t="s">
        <v>59</v>
      </c>
      <c r="C29" s="8">
        <f t="shared" si="0"/>
        <v>30064.254474400001</v>
      </c>
      <c r="D29" s="9" t="s">
        <v>22</v>
      </c>
      <c r="E29" s="10">
        <f t="shared" si="1"/>
        <v>29975</v>
      </c>
      <c r="F29" t="s">
        <v>50</v>
      </c>
      <c r="G29" s="49" t="s">
        <v>276</v>
      </c>
      <c r="H29" s="51" t="s">
        <v>284</v>
      </c>
      <c r="I29" s="27">
        <v>29975</v>
      </c>
      <c r="J29" s="8"/>
      <c r="K29" s="8"/>
      <c r="L29" s="8"/>
      <c r="M29" s="27"/>
      <c r="N29" s="8"/>
      <c r="O29" s="8"/>
      <c r="P29" s="8"/>
      <c r="Q29" s="27"/>
      <c r="R29" s="8"/>
      <c r="S29" s="8"/>
      <c r="T29" s="27"/>
      <c r="U29" s="8"/>
      <c r="V29" s="8"/>
      <c r="W29" s="27"/>
      <c r="X29" s="8"/>
      <c r="Y29" s="8"/>
      <c r="Z29" s="27"/>
      <c r="AA29" s="25"/>
      <c r="AB29" s="25"/>
      <c r="AC29" s="27"/>
      <c r="AD29" s="25"/>
      <c r="AE29" s="25"/>
      <c r="AF29" s="27"/>
      <c r="AG29" s="8"/>
      <c r="AH29" s="8"/>
      <c r="AI29" s="27"/>
      <c r="AJ29" s="8"/>
      <c r="AK29" s="8"/>
      <c r="AL29" s="27"/>
      <c r="AM29" s="8" t="s">
        <v>235</v>
      </c>
      <c r="AN29" s="8" t="s">
        <v>25</v>
      </c>
      <c r="AO29" s="25">
        <f>(4174+2*701)/1000*IF(ISNUMBER('Yhtiökohtaiset arvot'!D25),'Yhtiökohtaiset arvot'!D25,'Yhtiökohtaiset arvot'!B25)*IF(ISNUMBER('Yhtiökohtaiset arvot'!D26),'Yhtiökohtaiset arvot'!D26,'Yhtiökohtaiset arvot'!B26)/1000</f>
        <v>89.254474399999992</v>
      </c>
      <c r="AP29" s="5"/>
    </row>
    <row r="30" spans="1:42" x14ac:dyDescent="0.2">
      <c r="A30" s="6">
        <v>40</v>
      </c>
      <c r="B30" s="7" t="s">
        <v>60</v>
      </c>
      <c r="C30" s="8">
        <f t="shared" si="0"/>
        <v>76.613864062499999</v>
      </c>
      <c r="D30" s="9" t="s">
        <v>33</v>
      </c>
      <c r="E30" s="10">
        <f t="shared" si="1"/>
        <v>75.467500000000001</v>
      </c>
      <c r="F30" t="s">
        <v>61</v>
      </c>
      <c r="G30" t="s">
        <v>25</v>
      </c>
      <c r="I30" s="27">
        <v>57.03</v>
      </c>
      <c r="J30" s="8" t="s">
        <v>438</v>
      </c>
      <c r="K30" s="8" t="s">
        <v>25</v>
      </c>
      <c r="L30" s="8"/>
      <c r="M30" s="27">
        <v>18.4375</v>
      </c>
      <c r="N30" s="8"/>
      <c r="O30" s="8"/>
      <c r="P30" s="8"/>
      <c r="Q30" s="27"/>
      <c r="R30" s="8"/>
      <c r="S30" s="8"/>
      <c r="T30" s="27"/>
      <c r="U30" s="8"/>
      <c r="V30" s="8"/>
      <c r="W30" s="27"/>
      <c r="X30" s="8"/>
      <c r="Y30" s="8"/>
      <c r="Z30" s="27"/>
      <c r="AA30" s="25"/>
      <c r="AB30" s="25"/>
      <c r="AC30" s="27"/>
      <c r="AD30" s="25"/>
      <c r="AE30" s="25"/>
      <c r="AF30" s="27"/>
      <c r="AG30" s="8"/>
      <c r="AH30" s="8" t="s">
        <v>25</v>
      </c>
      <c r="AI30" s="27">
        <f>'Yhtiökohtaiset arvot'!D20/(8/1)</f>
        <v>1.1463640624999998</v>
      </c>
      <c r="AJ30" s="8"/>
      <c r="AK30" s="8"/>
      <c r="AL30" s="27"/>
      <c r="AM30" s="8"/>
      <c r="AN30" s="8"/>
      <c r="AO30" s="25"/>
      <c r="AP30" s="5"/>
    </row>
    <row r="31" spans="1:42" x14ac:dyDescent="0.2">
      <c r="A31" s="6">
        <v>41</v>
      </c>
      <c r="B31" s="7" t="s">
        <v>62</v>
      </c>
      <c r="C31" s="8">
        <f t="shared" si="0"/>
        <v>4.1463640625</v>
      </c>
      <c r="D31" s="9" t="s">
        <v>33</v>
      </c>
      <c r="E31" s="10">
        <f t="shared" si="1"/>
        <v>3</v>
      </c>
      <c r="F31" t="s">
        <v>63</v>
      </c>
      <c r="G31" t="s">
        <v>25</v>
      </c>
      <c r="I31" s="27">
        <v>3</v>
      </c>
      <c r="J31" s="8"/>
      <c r="K31" s="8"/>
      <c r="L31" s="8"/>
      <c r="M31" s="27"/>
      <c r="N31" s="8"/>
      <c r="O31" s="8"/>
      <c r="P31" s="8"/>
      <c r="Q31" s="27"/>
      <c r="R31" s="8"/>
      <c r="S31" s="8"/>
      <c r="T31" s="27"/>
      <c r="U31" s="8"/>
      <c r="V31" s="8"/>
      <c r="W31" s="27"/>
      <c r="X31" s="8"/>
      <c r="Y31" s="8"/>
      <c r="Z31" s="27"/>
      <c r="AA31" s="25"/>
      <c r="AB31" s="25"/>
      <c r="AC31" s="27"/>
      <c r="AD31" s="25"/>
      <c r="AE31" s="25"/>
      <c r="AF31" s="27"/>
      <c r="AG31" s="8"/>
      <c r="AH31" s="8" t="s">
        <v>25</v>
      </c>
      <c r="AI31" s="27">
        <f>'Yhtiökohtaiset arvot'!D20/(8/1)</f>
        <v>1.1463640624999998</v>
      </c>
      <c r="AJ31" s="8"/>
      <c r="AK31" s="8"/>
      <c r="AL31" s="27"/>
      <c r="AM31" s="8"/>
      <c r="AN31" s="8"/>
      <c r="AO31" s="25"/>
      <c r="AP31" s="5"/>
    </row>
    <row r="32" spans="1:42" x14ac:dyDescent="0.2">
      <c r="A32" s="6">
        <v>42</v>
      </c>
      <c r="B32" s="7" t="s">
        <v>64</v>
      </c>
      <c r="C32" s="8">
        <f t="shared" si="0"/>
        <v>16.2463640625</v>
      </c>
      <c r="D32" s="9" t="s">
        <v>33</v>
      </c>
      <c r="E32" s="10">
        <f t="shared" si="1"/>
        <v>15.1</v>
      </c>
      <c r="F32" t="s">
        <v>65</v>
      </c>
      <c r="G32" s="49" t="s">
        <v>277</v>
      </c>
      <c r="H32" s="51" t="s">
        <v>284</v>
      </c>
      <c r="I32" s="27">
        <v>15.1</v>
      </c>
      <c r="J32" s="8"/>
      <c r="K32" s="8"/>
      <c r="L32" s="8"/>
      <c r="M32" s="27"/>
      <c r="N32" s="8"/>
      <c r="O32" s="8"/>
      <c r="P32" s="8"/>
      <c r="Q32" s="27"/>
      <c r="R32" s="8"/>
      <c r="S32" s="8"/>
      <c r="T32" s="27"/>
      <c r="U32" s="8"/>
      <c r="V32" s="8"/>
      <c r="W32" s="27"/>
      <c r="X32" s="8"/>
      <c r="Y32" s="8"/>
      <c r="Z32" s="27"/>
      <c r="AA32" s="25"/>
      <c r="AB32" s="25"/>
      <c r="AC32" s="27"/>
      <c r="AD32" s="25"/>
      <c r="AE32" s="25"/>
      <c r="AF32" s="27"/>
      <c r="AG32" s="8"/>
      <c r="AH32" s="8" t="s">
        <v>25</v>
      </c>
      <c r="AI32" s="27">
        <f>'Yhtiökohtaiset arvot'!D20/(8/1)</f>
        <v>1.1463640624999998</v>
      </c>
      <c r="AJ32" s="8"/>
      <c r="AK32" s="8"/>
      <c r="AL32" s="27"/>
      <c r="AM32" s="8"/>
      <c r="AN32" s="8"/>
      <c r="AO32" s="25"/>
      <c r="AP32" s="5"/>
    </row>
    <row r="33" spans="1:42" x14ac:dyDescent="0.2">
      <c r="A33" s="6">
        <v>43</v>
      </c>
      <c r="B33" s="7" t="s">
        <v>66</v>
      </c>
      <c r="C33" s="8">
        <f t="shared" si="0"/>
        <v>18.206364062499997</v>
      </c>
      <c r="D33" s="9" t="s">
        <v>33</v>
      </c>
      <c r="E33" s="10">
        <f t="shared" si="1"/>
        <v>17.059999999999999</v>
      </c>
      <c r="F33" t="s">
        <v>65</v>
      </c>
      <c r="G33" t="s">
        <v>25</v>
      </c>
      <c r="I33" s="27">
        <v>17.059999999999999</v>
      </c>
      <c r="J33" s="8"/>
      <c r="K33" s="8"/>
      <c r="L33" s="8"/>
      <c r="M33" s="27"/>
      <c r="N33" s="8"/>
      <c r="O33" s="8"/>
      <c r="P33" s="8"/>
      <c r="Q33" s="27"/>
      <c r="R33" s="8"/>
      <c r="S33" s="8"/>
      <c r="T33" s="27"/>
      <c r="U33" s="8"/>
      <c r="V33" s="8"/>
      <c r="W33" s="27"/>
      <c r="X33" s="8"/>
      <c r="Y33" s="8"/>
      <c r="Z33" s="27"/>
      <c r="AA33" s="25"/>
      <c r="AB33" s="25"/>
      <c r="AC33" s="27"/>
      <c r="AD33" s="25"/>
      <c r="AE33" s="25"/>
      <c r="AF33" s="27"/>
      <c r="AG33" s="8"/>
      <c r="AH33" s="8" t="s">
        <v>25</v>
      </c>
      <c r="AI33" s="27">
        <f>'Yhtiökohtaiset arvot'!D20/(8/1)</f>
        <v>1.1463640624999998</v>
      </c>
      <c r="AJ33" s="8"/>
      <c r="AK33" s="8"/>
      <c r="AL33" s="27"/>
      <c r="AM33" s="8"/>
      <c r="AN33" s="8"/>
      <c r="AO33" s="25"/>
      <c r="AP33" s="5"/>
    </row>
    <row r="34" spans="1:42" x14ac:dyDescent="0.2">
      <c r="A34" s="6">
        <v>44</v>
      </c>
      <c r="B34" s="7" t="s">
        <v>67</v>
      </c>
      <c r="C34" s="8">
        <f t="shared" si="0"/>
        <v>28.046364062499997</v>
      </c>
      <c r="D34" s="9" t="s">
        <v>33</v>
      </c>
      <c r="E34" s="10">
        <f t="shared" si="1"/>
        <v>26.9</v>
      </c>
      <c r="F34" t="s">
        <v>65</v>
      </c>
      <c r="G34" s="49" t="s">
        <v>278</v>
      </c>
      <c r="H34" s="51" t="s">
        <v>284</v>
      </c>
      <c r="I34" s="27">
        <v>26.9</v>
      </c>
      <c r="J34" s="8"/>
      <c r="K34" s="8"/>
      <c r="L34" s="8"/>
      <c r="M34" s="27"/>
      <c r="N34" s="8"/>
      <c r="O34" s="8"/>
      <c r="P34" s="8"/>
      <c r="Q34" s="27"/>
      <c r="R34" s="8"/>
      <c r="S34" s="8"/>
      <c r="T34" s="27"/>
      <c r="U34" s="8"/>
      <c r="V34" s="8"/>
      <c r="W34" s="27"/>
      <c r="X34" s="8"/>
      <c r="Y34" s="8"/>
      <c r="Z34" s="27"/>
      <c r="AA34" s="25"/>
      <c r="AB34" s="25"/>
      <c r="AC34" s="27"/>
      <c r="AD34" s="25"/>
      <c r="AE34" s="25"/>
      <c r="AF34" s="27"/>
      <c r="AG34" s="8"/>
      <c r="AH34" s="8" t="s">
        <v>25</v>
      </c>
      <c r="AI34" s="27">
        <f>'Yhtiökohtaiset arvot'!D20/(8/1)</f>
        <v>1.1463640624999998</v>
      </c>
      <c r="AJ34" s="8"/>
      <c r="AK34" s="8"/>
      <c r="AL34" s="27"/>
      <c r="AM34" s="8"/>
      <c r="AN34" s="8"/>
      <c r="AO34" s="25"/>
      <c r="AP34" s="5"/>
    </row>
    <row r="35" spans="1:42" x14ac:dyDescent="0.2">
      <c r="A35" s="6">
        <v>45</v>
      </c>
      <c r="B35" s="7" t="s">
        <v>68</v>
      </c>
      <c r="C35" s="8">
        <f t="shared" ref="C35:C97" si="9">SUM(I35,M35,Q35,T35,W35,Z35,AC35,AF35,AI35,AL35,AO35)</f>
        <v>39.2463640625</v>
      </c>
      <c r="D35" s="9" t="s">
        <v>33</v>
      </c>
      <c r="E35" s="10">
        <f t="shared" ref="E35:E97" si="10">SUM(I35,M35,Q35,T35,W35,Z35,AC35,AF35)</f>
        <v>38.1</v>
      </c>
      <c r="F35" t="s">
        <v>65</v>
      </c>
      <c r="G35" s="49" t="s">
        <v>279</v>
      </c>
      <c r="H35" s="51" t="s">
        <v>284</v>
      </c>
      <c r="I35" s="27">
        <v>38.1</v>
      </c>
      <c r="J35" s="8"/>
      <c r="K35" s="8"/>
      <c r="L35" s="8"/>
      <c r="M35" s="27"/>
      <c r="N35" s="8"/>
      <c r="O35" s="8"/>
      <c r="P35" s="8"/>
      <c r="Q35" s="27"/>
      <c r="R35" s="8"/>
      <c r="S35" s="8"/>
      <c r="T35" s="27"/>
      <c r="U35" s="8"/>
      <c r="V35" s="8"/>
      <c r="W35" s="27"/>
      <c r="X35" s="8"/>
      <c r="Y35" s="8"/>
      <c r="Z35" s="27"/>
      <c r="AA35" s="25"/>
      <c r="AB35" s="25"/>
      <c r="AC35" s="27"/>
      <c r="AD35" s="25"/>
      <c r="AE35" s="25"/>
      <c r="AF35" s="27"/>
      <c r="AG35" s="8"/>
      <c r="AH35" s="8" t="s">
        <v>25</v>
      </c>
      <c r="AI35" s="27">
        <f>'Yhtiökohtaiset arvot'!D20/(8/1)</f>
        <v>1.1463640624999998</v>
      </c>
      <c r="AJ35" s="8"/>
      <c r="AK35" s="8"/>
      <c r="AL35" s="27"/>
      <c r="AM35" s="8"/>
      <c r="AN35" s="8"/>
      <c r="AO35" s="25"/>
      <c r="AP35" s="5"/>
    </row>
    <row r="36" spans="1:42" x14ac:dyDescent="0.2">
      <c r="A36" s="6">
        <v>46</v>
      </c>
      <c r="B36" s="7" t="s">
        <v>69</v>
      </c>
      <c r="C36" s="8">
        <f t="shared" si="9"/>
        <v>46.866364062499997</v>
      </c>
      <c r="D36" s="9" t="s">
        <v>33</v>
      </c>
      <c r="E36" s="10">
        <f t="shared" si="10"/>
        <v>45.72</v>
      </c>
      <c r="F36" t="s">
        <v>65</v>
      </c>
      <c r="G36" s="49" t="s">
        <v>279</v>
      </c>
      <c r="H36" s="51" t="s">
        <v>284</v>
      </c>
      <c r="I36" s="27">
        <v>45.72</v>
      </c>
      <c r="J36" s="8"/>
      <c r="K36" s="8"/>
      <c r="L36" s="8"/>
      <c r="M36" s="27"/>
      <c r="N36" s="8"/>
      <c r="O36" s="8"/>
      <c r="P36" s="8"/>
      <c r="Q36" s="27"/>
      <c r="R36" s="8"/>
      <c r="S36" s="8"/>
      <c r="T36" s="27"/>
      <c r="U36" s="8"/>
      <c r="V36" s="8"/>
      <c r="W36" s="27"/>
      <c r="X36" s="8"/>
      <c r="Y36" s="8"/>
      <c r="Z36" s="27"/>
      <c r="AA36" s="25"/>
      <c r="AB36" s="25"/>
      <c r="AC36" s="27"/>
      <c r="AD36" s="25"/>
      <c r="AE36" s="25"/>
      <c r="AF36" s="27"/>
      <c r="AG36" s="8"/>
      <c r="AH36" s="8" t="s">
        <v>25</v>
      </c>
      <c r="AI36" s="27">
        <f>'Yhtiökohtaiset arvot'!D20/(8/1)</f>
        <v>1.1463640624999998</v>
      </c>
      <c r="AJ36" s="8"/>
      <c r="AK36" s="8"/>
      <c r="AL36" s="27"/>
      <c r="AM36" s="8"/>
      <c r="AN36" s="8"/>
      <c r="AO36" s="25"/>
      <c r="AP36" s="5"/>
    </row>
    <row r="37" spans="1:42" x14ac:dyDescent="0.2">
      <c r="A37" s="6">
        <v>47</v>
      </c>
      <c r="B37" s="7" t="s">
        <v>70</v>
      </c>
      <c r="C37" s="8">
        <f t="shared" si="9"/>
        <v>116.41545624999999</v>
      </c>
      <c r="D37" s="9" t="s">
        <v>33</v>
      </c>
      <c r="E37" s="10">
        <f t="shared" si="10"/>
        <v>111.83</v>
      </c>
      <c r="F37" t="s">
        <v>65</v>
      </c>
      <c r="G37" s="49" t="s">
        <v>280</v>
      </c>
      <c r="H37" s="51" t="s">
        <v>284</v>
      </c>
      <c r="I37" s="27">
        <v>111.83</v>
      </c>
      <c r="J37" s="8"/>
      <c r="K37" s="8"/>
      <c r="L37" s="8"/>
      <c r="M37" s="27"/>
      <c r="N37" s="8"/>
      <c r="O37" s="8"/>
      <c r="P37" s="8"/>
      <c r="Q37" s="27"/>
      <c r="R37" s="8"/>
      <c r="S37" s="8"/>
      <c r="T37" s="27"/>
      <c r="U37" s="8"/>
      <c r="V37" s="8"/>
      <c r="W37" s="27"/>
      <c r="X37" s="8"/>
      <c r="Y37" s="8"/>
      <c r="Z37" s="27"/>
      <c r="AA37" s="25"/>
      <c r="AB37" s="25"/>
      <c r="AC37" s="27"/>
      <c r="AD37" s="25"/>
      <c r="AE37" s="25"/>
      <c r="AF37" s="27"/>
      <c r="AG37" s="8"/>
      <c r="AH37" s="8" t="s">
        <v>25</v>
      </c>
      <c r="AI37" s="27">
        <f>'Yhtiökohtaiset arvot'!D20/(8/4)</f>
        <v>4.5854562499999991</v>
      </c>
      <c r="AJ37" s="8"/>
      <c r="AK37" s="8"/>
      <c r="AL37" s="27"/>
      <c r="AM37" s="8"/>
      <c r="AN37" s="8"/>
      <c r="AO37" s="25"/>
      <c r="AP37" s="5"/>
    </row>
    <row r="38" spans="1:42" x14ac:dyDescent="0.2">
      <c r="A38" s="6">
        <v>48</v>
      </c>
      <c r="B38" s="196" t="s">
        <v>785</v>
      </c>
      <c r="C38" s="197">
        <f t="shared" ref="C38:C41" si="11">SUM(I38,M38,Q38,T38,W38,Z38,AC38,AF38,AI38,AL38,AO38)</f>
        <v>0</v>
      </c>
      <c r="D38" s="198" t="s">
        <v>33</v>
      </c>
      <c r="E38" s="199">
        <f t="shared" ref="E38:E41" si="12">SUM(I38,M38,Q38,T38,W38,Z38,AC38,AF38)</f>
        <v>0</v>
      </c>
      <c r="G38" s="49"/>
      <c r="H38" s="51"/>
      <c r="I38" s="27"/>
      <c r="J38" s="8"/>
      <c r="K38" s="8"/>
      <c r="L38" s="8"/>
      <c r="M38" s="27"/>
      <c r="N38" s="8"/>
      <c r="O38" s="8"/>
      <c r="P38" s="8"/>
      <c r="Q38" s="27"/>
      <c r="R38" s="8"/>
      <c r="S38" s="8"/>
      <c r="T38" s="27"/>
      <c r="U38" s="8"/>
      <c r="V38" s="8"/>
      <c r="W38" s="27"/>
      <c r="X38" s="8"/>
      <c r="Y38" s="8"/>
      <c r="Z38" s="27"/>
      <c r="AA38" s="25"/>
      <c r="AB38" s="25"/>
      <c r="AC38" s="27"/>
      <c r="AD38" s="25"/>
      <c r="AE38" s="25"/>
      <c r="AF38" s="27"/>
      <c r="AG38" s="8"/>
      <c r="AH38" s="8"/>
      <c r="AI38" s="27"/>
      <c r="AJ38" s="8"/>
      <c r="AK38" s="8"/>
      <c r="AL38" s="27"/>
      <c r="AM38" s="8"/>
      <c r="AN38" s="8"/>
      <c r="AO38" s="25"/>
      <c r="AP38" s="5"/>
    </row>
    <row r="39" spans="1:42" x14ac:dyDescent="0.2">
      <c r="A39" s="6">
        <v>49</v>
      </c>
      <c r="B39" s="196" t="s">
        <v>786</v>
      </c>
      <c r="C39" s="197">
        <f t="shared" si="11"/>
        <v>0</v>
      </c>
      <c r="D39" s="198" t="s">
        <v>33</v>
      </c>
      <c r="E39" s="199">
        <f t="shared" si="12"/>
        <v>0</v>
      </c>
      <c r="G39" s="49"/>
      <c r="H39" s="51"/>
      <c r="I39" s="27"/>
      <c r="J39" s="8"/>
      <c r="K39" s="8"/>
      <c r="L39" s="8"/>
      <c r="M39" s="27"/>
      <c r="N39" s="8"/>
      <c r="O39" s="8"/>
      <c r="P39" s="8"/>
      <c r="Q39" s="27"/>
      <c r="R39" s="8"/>
      <c r="S39" s="8"/>
      <c r="T39" s="27"/>
      <c r="U39" s="8"/>
      <c r="V39" s="8"/>
      <c r="W39" s="27"/>
      <c r="X39" s="8"/>
      <c r="Y39" s="8"/>
      <c r="Z39" s="27"/>
      <c r="AA39" s="25"/>
      <c r="AB39" s="25"/>
      <c r="AC39" s="27"/>
      <c r="AD39" s="25"/>
      <c r="AE39" s="25"/>
      <c r="AF39" s="27"/>
      <c r="AG39" s="8"/>
      <c r="AH39" s="8"/>
      <c r="AI39" s="27"/>
      <c r="AJ39" s="8"/>
      <c r="AK39" s="8"/>
      <c r="AL39" s="27"/>
      <c r="AM39" s="8"/>
      <c r="AN39" s="8"/>
      <c r="AO39" s="25"/>
      <c r="AP39" s="5"/>
    </row>
    <row r="40" spans="1:42" x14ac:dyDescent="0.2">
      <c r="A40" s="6">
        <v>50</v>
      </c>
      <c r="B40" s="196" t="s">
        <v>787</v>
      </c>
      <c r="C40" s="197">
        <f t="shared" si="11"/>
        <v>0</v>
      </c>
      <c r="D40" s="198" t="s">
        <v>33</v>
      </c>
      <c r="E40" s="199">
        <f t="shared" si="12"/>
        <v>0</v>
      </c>
      <c r="G40" s="49"/>
      <c r="H40" s="51"/>
      <c r="I40" s="27"/>
      <c r="J40" s="8"/>
      <c r="K40" s="8"/>
      <c r="L40" s="8"/>
      <c r="M40" s="27"/>
      <c r="N40" s="8"/>
      <c r="O40" s="8"/>
      <c r="P40" s="8"/>
      <c r="Q40" s="27"/>
      <c r="R40" s="8"/>
      <c r="S40" s="8"/>
      <c r="T40" s="27"/>
      <c r="U40" s="8"/>
      <c r="V40" s="8"/>
      <c r="W40" s="27"/>
      <c r="X40" s="8"/>
      <c r="Y40" s="8"/>
      <c r="Z40" s="27"/>
      <c r="AA40" s="25"/>
      <c r="AB40" s="25"/>
      <c r="AC40" s="27"/>
      <c r="AD40" s="25"/>
      <c r="AE40" s="25"/>
      <c r="AF40" s="27"/>
      <c r="AG40" s="8"/>
      <c r="AH40" s="8"/>
      <c r="AI40" s="27"/>
      <c r="AJ40" s="8"/>
      <c r="AK40" s="8"/>
      <c r="AL40" s="27"/>
      <c r="AM40" s="8"/>
      <c r="AN40" s="8"/>
      <c r="AO40" s="25"/>
      <c r="AP40" s="5"/>
    </row>
    <row r="41" spans="1:42" x14ac:dyDescent="0.2">
      <c r="A41" s="6">
        <v>51</v>
      </c>
      <c r="B41" s="196" t="s">
        <v>788</v>
      </c>
      <c r="C41" s="197">
        <f t="shared" si="11"/>
        <v>0</v>
      </c>
      <c r="D41" s="198" t="s">
        <v>22</v>
      </c>
      <c r="E41" s="199">
        <f t="shared" si="12"/>
        <v>0</v>
      </c>
      <c r="G41" s="49"/>
      <c r="H41" s="51"/>
      <c r="I41" s="27"/>
      <c r="J41" s="8"/>
      <c r="K41" s="8"/>
      <c r="L41" s="8"/>
      <c r="M41" s="27"/>
      <c r="N41" s="8"/>
      <c r="O41" s="8"/>
      <c r="P41" s="8"/>
      <c r="Q41" s="27"/>
      <c r="R41" s="8"/>
      <c r="S41" s="8"/>
      <c r="T41" s="27"/>
      <c r="U41" s="8"/>
      <c r="V41" s="8"/>
      <c r="W41" s="27"/>
      <c r="X41" s="8"/>
      <c r="Y41" s="8"/>
      <c r="Z41" s="27"/>
      <c r="AA41" s="25"/>
      <c r="AB41" s="25"/>
      <c r="AC41" s="27"/>
      <c r="AD41" s="25"/>
      <c r="AE41" s="25"/>
      <c r="AF41" s="27"/>
      <c r="AG41" s="8"/>
      <c r="AH41" s="8"/>
      <c r="AI41" s="27"/>
      <c r="AJ41" s="8"/>
      <c r="AK41" s="8"/>
      <c r="AL41" s="27"/>
      <c r="AM41" s="8"/>
      <c r="AN41" s="8"/>
      <c r="AO41" s="25"/>
      <c r="AP41" s="5"/>
    </row>
    <row r="42" spans="1:42" x14ac:dyDescent="0.2">
      <c r="A42" s="6">
        <v>52</v>
      </c>
      <c r="B42" s="196" t="s">
        <v>789</v>
      </c>
      <c r="C42" s="197">
        <f t="shared" ref="C42:C58" si="13">SUM(I42,M42,Q42,T42,W42,Z42,AC42,AF42,AI42,AL42,AO42)</f>
        <v>0</v>
      </c>
      <c r="D42" s="198" t="s">
        <v>22</v>
      </c>
      <c r="E42" s="199">
        <f t="shared" ref="E42:E56" si="14">SUM(I42,M42,Q42,T42,W42,Z42,AC42,AF42)</f>
        <v>0</v>
      </c>
      <c r="G42" s="49"/>
      <c r="H42" s="51"/>
      <c r="I42" s="27"/>
      <c r="J42" s="8"/>
      <c r="K42" s="8"/>
      <c r="L42" s="8"/>
      <c r="M42" s="27"/>
      <c r="N42" s="8"/>
      <c r="O42" s="8"/>
      <c r="P42" s="8"/>
      <c r="Q42" s="27"/>
      <c r="R42" s="8"/>
      <c r="S42" s="8"/>
      <c r="T42" s="27"/>
      <c r="U42" s="8"/>
      <c r="V42" s="8"/>
      <c r="W42" s="27"/>
      <c r="X42" s="8"/>
      <c r="Y42" s="8"/>
      <c r="Z42" s="27"/>
      <c r="AA42" s="25"/>
      <c r="AB42" s="25"/>
      <c r="AC42" s="27"/>
      <c r="AD42" s="25"/>
      <c r="AE42" s="25"/>
      <c r="AF42" s="27"/>
      <c r="AG42" s="8"/>
      <c r="AH42" s="8"/>
      <c r="AI42" s="27"/>
      <c r="AJ42" s="8"/>
      <c r="AK42" s="8"/>
      <c r="AL42" s="27"/>
      <c r="AM42" s="8"/>
      <c r="AN42" s="8"/>
      <c r="AO42" s="25"/>
      <c r="AP42" s="5"/>
    </row>
    <row r="43" spans="1:42" x14ac:dyDescent="0.2">
      <c r="A43" s="6">
        <v>53</v>
      </c>
      <c r="B43" s="196" t="s">
        <v>790</v>
      </c>
      <c r="C43" s="197">
        <f t="shared" si="13"/>
        <v>0</v>
      </c>
      <c r="D43" s="198" t="s">
        <v>22</v>
      </c>
      <c r="E43" s="199">
        <f t="shared" si="14"/>
        <v>0</v>
      </c>
      <c r="G43" s="49"/>
      <c r="H43" s="51"/>
      <c r="I43" s="27"/>
      <c r="J43" s="8"/>
      <c r="K43" s="8"/>
      <c r="L43" s="8"/>
      <c r="M43" s="27"/>
      <c r="N43" s="8"/>
      <c r="O43" s="8"/>
      <c r="P43" s="8"/>
      <c r="Q43" s="27"/>
      <c r="R43" s="8"/>
      <c r="S43" s="8"/>
      <c r="T43" s="27"/>
      <c r="U43" s="8"/>
      <c r="V43" s="8"/>
      <c r="W43" s="27"/>
      <c r="X43" s="8"/>
      <c r="Y43" s="8"/>
      <c r="Z43" s="27"/>
      <c r="AA43" s="25"/>
      <c r="AB43" s="25"/>
      <c r="AC43" s="27"/>
      <c r="AD43" s="25"/>
      <c r="AE43" s="25"/>
      <c r="AF43" s="27"/>
      <c r="AG43" s="8"/>
      <c r="AH43" s="8"/>
      <c r="AI43" s="27"/>
      <c r="AJ43" s="8"/>
      <c r="AK43" s="8"/>
      <c r="AL43" s="27"/>
      <c r="AM43" s="8"/>
      <c r="AN43" s="8"/>
      <c r="AO43" s="25"/>
      <c r="AP43" s="5"/>
    </row>
    <row r="44" spans="1:42" x14ac:dyDescent="0.2">
      <c r="A44" s="6">
        <v>54</v>
      </c>
      <c r="B44" s="196" t="s">
        <v>791</v>
      </c>
      <c r="C44" s="197">
        <f t="shared" si="13"/>
        <v>0</v>
      </c>
      <c r="D44" s="198" t="s">
        <v>22</v>
      </c>
      <c r="E44" s="199">
        <f t="shared" si="14"/>
        <v>0</v>
      </c>
      <c r="G44" s="49"/>
      <c r="H44" s="51"/>
      <c r="I44" s="27"/>
      <c r="J44" s="8"/>
      <c r="K44" s="8"/>
      <c r="L44" s="8"/>
      <c r="M44" s="27"/>
      <c r="N44" s="8"/>
      <c r="O44" s="8"/>
      <c r="P44" s="8"/>
      <c r="Q44" s="27"/>
      <c r="R44" s="8"/>
      <c r="S44" s="8"/>
      <c r="T44" s="27"/>
      <c r="U44" s="8"/>
      <c r="V44" s="8"/>
      <c r="W44" s="27"/>
      <c r="X44" s="8"/>
      <c r="Y44" s="8"/>
      <c r="Z44" s="27"/>
      <c r="AA44" s="25"/>
      <c r="AB44" s="25"/>
      <c r="AC44" s="27"/>
      <c r="AD44" s="25"/>
      <c r="AE44" s="25"/>
      <c r="AF44" s="27"/>
      <c r="AG44" s="8"/>
      <c r="AH44" s="8"/>
      <c r="AI44" s="27"/>
      <c r="AJ44" s="8"/>
      <c r="AK44" s="8"/>
      <c r="AL44" s="27"/>
      <c r="AM44" s="8"/>
      <c r="AN44" s="8"/>
      <c r="AO44" s="25"/>
      <c r="AP44" s="5"/>
    </row>
    <row r="45" spans="1:42" x14ac:dyDescent="0.2">
      <c r="A45" s="6">
        <v>55</v>
      </c>
      <c r="B45" s="196" t="s">
        <v>792</v>
      </c>
      <c r="C45" s="197">
        <f t="shared" si="13"/>
        <v>0</v>
      </c>
      <c r="D45" s="198" t="s">
        <v>22</v>
      </c>
      <c r="E45" s="199">
        <f t="shared" si="14"/>
        <v>0</v>
      </c>
      <c r="G45" s="49"/>
      <c r="H45" s="51"/>
      <c r="I45" s="27"/>
      <c r="J45" s="8"/>
      <c r="K45" s="8"/>
      <c r="L45" s="8"/>
      <c r="M45" s="27"/>
      <c r="N45" s="8"/>
      <c r="O45" s="8"/>
      <c r="P45" s="8"/>
      <c r="Q45" s="27"/>
      <c r="R45" s="8"/>
      <c r="S45" s="8"/>
      <c r="T45" s="27"/>
      <c r="U45" s="8"/>
      <c r="V45" s="8"/>
      <c r="W45" s="27"/>
      <c r="X45" s="8"/>
      <c r="Y45" s="8"/>
      <c r="Z45" s="27"/>
      <c r="AA45" s="25"/>
      <c r="AB45" s="25"/>
      <c r="AC45" s="27"/>
      <c r="AD45" s="25"/>
      <c r="AE45" s="25"/>
      <c r="AF45" s="27"/>
      <c r="AG45" s="8"/>
      <c r="AH45" s="8"/>
      <c r="AI45" s="27"/>
      <c r="AJ45" s="8"/>
      <c r="AK45" s="8"/>
      <c r="AL45" s="27"/>
      <c r="AM45" s="8"/>
      <c r="AN45" s="8"/>
      <c r="AO45" s="25"/>
      <c r="AP45" s="5"/>
    </row>
    <row r="46" spans="1:42" x14ac:dyDescent="0.2">
      <c r="A46" s="6">
        <v>56</v>
      </c>
      <c r="B46" s="196" t="s">
        <v>793</v>
      </c>
      <c r="C46" s="197">
        <f t="shared" si="13"/>
        <v>0</v>
      </c>
      <c r="D46" s="198" t="s">
        <v>22</v>
      </c>
      <c r="E46" s="199">
        <f t="shared" si="14"/>
        <v>0</v>
      </c>
      <c r="G46" s="49"/>
      <c r="H46" s="51"/>
      <c r="I46" s="27"/>
      <c r="J46" s="8"/>
      <c r="K46" s="8"/>
      <c r="L46" s="8"/>
      <c r="M46" s="27"/>
      <c r="N46" s="8"/>
      <c r="O46" s="8"/>
      <c r="P46" s="8"/>
      <c r="Q46" s="27"/>
      <c r="R46" s="8"/>
      <c r="S46" s="8"/>
      <c r="T46" s="27"/>
      <c r="U46" s="8"/>
      <c r="V46" s="8"/>
      <c r="W46" s="27"/>
      <c r="X46" s="8"/>
      <c r="Y46" s="8"/>
      <c r="Z46" s="27"/>
      <c r="AA46" s="25"/>
      <c r="AB46" s="25"/>
      <c r="AC46" s="27"/>
      <c r="AD46" s="25"/>
      <c r="AE46" s="25"/>
      <c r="AF46" s="27"/>
      <c r="AG46" s="8"/>
      <c r="AH46" s="8"/>
      <c r="AI46" s="27"/>
      <c r="AJ46" s="8"/>
      <c r="AK46" s="8"/>
      <c r="AL46" s="27"/>
      <c r="AM46" s="8"/>
      <c r="AN46" s="8"/>
      <c r="AO46" s="25"/>
      <c r="AP46" s="5"/>
    </row>
    <row r="47" spans="1:42" x14ac:dyDescent="0.2">
      <c r="A47" s="6">
        <v>57</v>
      </c>
      <c r="B47" s="196" t="s">
        <v>794</v>
      </c>
      <c r="C47" s="197">
        <f t="shared" si="13"/>
        <v>0</v>
      </c>
      <c r="D47" s="198" t="s">
        <v>22</v>
      </c>
      <c r="E47" s="199">
        <f t="shared" si="14"/>
        <v>0</v>
      </c>
      <c r="G47" s="49"/>
      <c r="H47" s="51"/>
      <c r="I47" s="27"/>
      <c r="J47" s="8"/>
      <c r="K47" s="8"/>
      <c r="L47" s="8"/>
      <c r="M47" s="27"/>
      <c r="N47" s="8"/>
      <c r="O47" s="8"/>
      <c r="P47" s="8"/>
      <c r="Q47" s="27"/>
      <c r="R47" s="8"/>
      <c r="S47" s="8"/>
      <c r="T47" s="27"/>
      <c r="U47" s="8"/>
      <c r="V47" s="8"/>
      <c r="W47" s="27"/>
      <c r="X47" s="8"/>
      <c r="Y47" s="8"/>
      <c r="Z47" s="27"/>
      <c r="AA47" s="25"/>
      <c r="AB47" s="25"/>
      <c r="AC47" s="27"/>
      <c r="AD47" s="25"/>
      <c r="AE47" s="25"/>
      <c r="AF47" s="27"/>
      <c r="AG47" s="8"/>
      <c r="AH47" s="8"/>
      <c r="AI47" s="27"/>
      <c r="AJ47" s="8"/>
      <c r="AK47" s="8"/>
      <c r="AL47" s="27"/>
      <c r="AM47" s="8"/>
      <c r="AN47" s="8"/>
      <c r="AO47" s="25"/>
      <c r="AP47" s="5"/>
    </row>
    <row r="48" spans="1:42" x14ac:dyDescent="0.2">
      <c r="A48" s="6">
        <v>58</v>
      </c>
      <c r="B48" s="196" t="s">
        <v>795</v>
      </c>
      <c r="C48" s="197">
        <f t="shared" si="13"/>
        <v>0</v>
      </c>
      <c r="D48" s="198" t="s">
        <v>22</v>
      </c>
      <c r="E48" s="199">
        <f t="shared" si="14"/>
        <v>0</v>
      </c>
      <c r="G48" s="49"/>
      <c r="H48" s="51"/>
      <c r="I48" s="27"/>
      <c r="J48" s="8"/>
      <c r="K48" s="8"/>
      <c r="L48" s="8"/>
      <c r="M48" s="27"/>
      <c r="N48" s="8"/>
      <c r="O48" s="8"/>
      <c r="P48" s="8"/>
      <c r="Q48" s="27"/>
      <c r="R48" s="8"/>
      <c r="S48" s="8"/>
      <c r="T48" s="27"/>
      <c r="U48" s="8"/>
      <c r="V48" s="8"/>
      <c r="W48" s="27"/>
      <c r="X48" s="8"/>
      <c r="Y48" s="8"/>
      <c r="Z48" s="27"/>
      <c r="AA48" s="25"/>
      <c r="AB48" s="25"/>
      <c r="AC48" s="27"/>
      <c r="AD48" s="25"/>
      <c r="AE48" s="25"/>
      <c r="AF48" s="27"/>
      <c r="AG48" s="8"/>
      <c r="AH48" s="8"/>
      <c r="AI48" s="27"/>
      <c r="AJ48" s="8"/>
      <c r="AK48" s="8"/>
      <c r="AL48" s="27"/>
      <c r="AM48" s="8"/>
      <c r="AN48" s="8"/>
      <c r="AO48" s="25"/>
      <c r="AP48" s="5"/>
    </row>
    <row r="49" spans="1:42" x14ac:dyDescent="0.2">
      <c r="A49" s="6">
        <v>59</v>
      </c>
      <c r="B49" s="196" t="s">
        <v>796</v>
      </c>
      <c r="C49" s="197">
        <f t="shared" si="13"/>
        <v>0</v>
      </c>
      <c r="D49" s="198" t="s">
        <v>22</v>
      </c>
      <c r="E49" s="199">
        <f t="shared" si="14"/>
        <v>0</v>
      </c>
      <c r="G49" s="49"/>
      <c r="H49" s="51"/>
      <c r="I49" s="27"/>
      <c r="J49" s="8"/>
      <c r="K49" s="8"/>
      <c r="L49" s="8"/>
      <c r="M49" s="27"/>
      <c r="N49" s="8"/>
      <c r="O49" s="8"/>
      <c r="P49" s="8"/>
      <c r="Q49" s="27"/>
      <c r="R49" s="8"/>
      <c r="S49" s="8"/>
      <c r="T49" s="27"/>
      <c r="U49" s="8"/>
      <c r="V49" s="8"/>
      <c r="W49" s="27"/>
      <c r="X49" s="8"/>
      <c r="Y49" s="8"/>
      <c r="Z49" s="27"/>
      <c r="AA49" s="25"/>
      <c r="AB49" s="25"/>
      <c r="AC49" s="27"/>
      <c r="AD49" s="25"/>
      <c r="AE49" s="25"/>
      <c r="AF49" s="27"/>
      <c r="AG49" s="8"/>
      <c r="AH49" s="8"/>
      <c r="AI49" s="27"/>
      <c r="AJ49" s="8"/>
      <c r="AK49" s="8"/>
      <c r="AL49" s="27"/>
      <c r="AM49" s="8"/>
      <c r="AN49" s="8"/>
      <c r="AO49" s="25"/>
      <c r="AP49" s="5"/>
    </row>
    <row r="50" spans="1:42" x14ac:dyDescent="0.2">
      <c r="A50" s="6">
        <v>60</v>
      </c>
      <c r="B50" s="196" t="s">
        <v>797</v>
      </c>
      <c r="C50" s="197">
        <f t="shared" si="13"/>
        <v>0</v>
      </c>
      <c r="D50" s="198" t="s">
        <v>22</v>
      </c>
      <c r="E50" s="199">
        <f t="shared" si="14"/>
        <v>0</v>
      </c>
      <c r="G50" s="49"/>
      <c r="H50" s="51"/>
      <c r="I50" s="27"/>
      <c r="J50" s="8"/>
      <c r="K50" s="8"/>
      <c r="L50" s="8"/>
      <c r="M50" s="27"/>
      <c r="N50" s="8"/>
      <c r="O50" s="8"/>
      <c r="P50" s="8"/>
      <c r="Q50" s="27"/>
      <c r="R50" s="8"/>
      <c r="S50" s="8"/>
      <c r="T50" s="27"/>
      <c r="U50" s="8"/>
      <c r="V50" s="8"/>
      <c r="W50" s="27"/>
      <c r="X50" s="8"/>
      <c r="Y50" s="8"/>
      <c r="Z50" s="27"/>
      <c r="AA50" s="25"/>
      <c r="AB50" s="25"/>
      <c r="AC50" s="27"/>
      <c r="AD50" s="25"/>
      <c r="AE50" s="25"/>
      <c r="AF50" s="27"/>
      <c r="AG50" s="8"/>
      <c r="AH50" s="8"/>
      <c r="AI50" s="27"/>
      <c r="AJ50" s="8"/>
      <c r="AK50" s="8"/>
      <c r="AL50" s="27"/>
      <c r="AM50" s="8"/>
      <c r="AN50" s="8"/>
      <c r="AO50" s="25"/>
      <c r="AP50" s="5"/>
    </row>
    <row r="51" spans="1:42" x14ac:dyDescent="0.2">
      <c r="A51" s="6">
        <v>61</v>
      </c>
      <c r="B51" s="196" t="s">
        <v>798</v>
      </c>
      <c r="C51" s="197">
        <f t="shared" si="13"/>
        <v>0</v>
      </c>
      <c r="D51" s="198" t="s">
        <v>22</v>
      </c>
      <c r="E51" s="199">
        <f t="shared" si="14"/>
        <v>0</v>
      </c>
      <c r="G51" s="49"/>
      <c r="H51" s="51"/>
      <c r="I51" s="27"/>
      <c r="J51" s="8"/>
      <c r="K51" s="8"/>
      <c r="L51" s="8"/>
      <c r="M51" s="27"/>
      <c r="N51" s="8"/>
      <c r="O51" s="8"/>
      <c r="P51" s="8"/>
      <c r="Q51" s="27"/>
      <c r="R51" s="8"/>
      <c r="S51" s="8"/>
      <c r="T51" s="27"/>
      <c r="U51" s="8"/>
      <c r="V51" s="8"/>
      <c r="W51" s="27"/>
      <c r="X51" s="8"/>
      <c r="Y51" s="8"/>
      <c r="Z51" s="27"/>
      <c r="AA51" s="25"/>
      <c r="AB51" s="25"/>
      <c r="AC51" s="27"/>
      <c r="AD51" s="25"/>
      <c r="AE51" s="25"/>
      <c r="AF51" s="27"/>
      <c r="AG51" s="8"/>
      <c r="AH51" s="8"/>
      <c r="AI51" s="27"/>
      <c r="AJ51" s="8"/>
      <c r="AK51" s="8"/>
      <c r="AL51" s="27"/>
      <c r="AM51" s="8"/>
      <c r="AN51" s="8"/>
      <c r="AO51" s="25"/>
      <c r="AP51" s="5"/>
    </row>
    <row r="52" spans="1:42" x14ac:dyDescent="0.2">
      <c r="A52" s="6">
        <v>62</v>
      </c>
      <c r="B52" s="196" t="s">
        <v>799</v>
      </c>
      <c r="C52" s="197">
        <f t="shared" si="13"/>
        <v>0</v>
      </c>
      <c r="D52" s="198" t="s">
        <v>22</v>
      </c>
      <c r="E52" s="199">
        <f t="shared" si="14"/>
        <v>0</v>
      </c>
      <c r="G52" s="49"/>
      <c r="H52" s="51"/>
      <c r="I52" s="27"/>
      <c r="J52" s="8"/>
      <c r="K52" s="8"/>
      <c r="L52" s="8"/>
      <c r="M52" s="27"/>
      <c r="N52" s="8"/>
      <c r="O52" s="8"/>
      <c r="P52" s="8"/>
      <c r="Q52" s="27"/>
      <c r="R52" s="8"/>
      <c r="S52" s="8"/>
      <c r="T52" s="27"/>
      <c r="U52" s="8"/>
      <c r="V52" s="8"/>
      <c r="W52" s="27"/>
      <c r="X52" s="8"/>
      <c r="Y52" s="8"/>
      <c r="Z52" s="27"/>
      <c r="AA52" s="25"/>
      <c r="AB52" s="25"/>
      <c r="AC52" s="27"/>
      <c r="AD52" s="25"/>
      <c r="AE52" s="25"/>
      <c r="AF52" s="27"/>
      <c r="AG52" s="8"/>
      <c r="AH52" s="8"/>
      <c r="AI52" s="27"/>
      <c r="AJ52" s="8"/>
      <c r="AK52" s="8"/>
      <c r="AL52" s="27"/>
      <c r="AM52" s="8"/>
      <c r="AN52" s="8"/>
      <c r="AO52" s="25"/>
      <c r="AP52" s="5"/>
    </row>
    <row r="53" spans="1:42" x14ac:dyDescent="0.2">
      <c r="A53" s="6">
        <v>63</v>
      </c>
      <c r="B53" s="196" t="s">
        <v>800</v>
      </c>
      <c r="C53" s="197">
        <f t="shared" si="13"/>
        <v>0</v>
      </c>
      <c r="D53" s="198" t="s">
        <v>22</v>
      </c>
      <c r="E53" s="199">
        <f t="shared" si="14"/>
        <v>0</v>
      </c>
      <c r="G53" s="49"/>
      <c r="H53" s="51"/>
      <c r="I53" s="27"/>
      <c r="J53" s="8"/>
      <c r="K53" s="8"/>
      <c r="L53" s="8"/>
      <c r="M53" s="27"/>
      <c r="N53" s="8"/>
      <c r="O53" s="8"/>
      <c r="P53" s="8"/>
      <c r="Q53" s="27"/>
      <c r="R53" s="8"/>
      <c r="S53" s="8"/>
      <c r="T53" s="27"/>
      <c r="U53" s="8"/>
      <c r="V53" s="8"/>
      <c r="W53" s="27"/>
      <c r="X53" s="8"/>
      <c r="Y53" s="8"/>
      <c r="Z53" s="27"/>
      <c r="AA53" s="25"/>
      <c r="AB53" s="25"/>
      <c r="AC53" s="27"/>
      <c r="AD53" s="25"/>
      <c r="AE53" s="25"/>
      <c r="AF53" s="27"/>
      <c r="AG53" s="8"/>
      <c r="AH53" s="8"/>
      <c r="AI53" s="27"/>
      <c r="AJ53" s="8"/>
      <c r="AK53" s="8"/>
      <c r="AL53" s="27"/>
      <c r="AM53" s="8"/>
      <c r="AN53" s="8"/>
      <c r="AO53" s="25"/>
      <c r="AP53" s="5"/>
    </row>
    <row r="54" spans="1:42" x14ac:dyDescent="0.2">
      <c r="A54" s="6">
        <v>64</v>
      </c>
      <c r="B54" s="196" t="s">
        <v>801</v>
      </c>
      <c r="C54" s="197">
        <f t="shared" si="13"/>
        <v>0</v>
      </c>
      <c r="D54" s="198" t="s">
        <v>22</v>
      </c>
      <c r="E54" s="199">
        <f t="shared" si="14"/>
        <v>0</v>
      </c>
      <c r="G54" s="49"/>
      <c r="H54" s="51"/>
      <c r="I54" s="27"/>
      <c r="J54" s="8"/>
      <c r="K54" s="8"/>
      <c r="L54" s="8"/>
      <c r="M54" s="27"/>
      <c r="N54" s="8"/>
      <c r="O54" s="8"/>
      <c r="P54" s="8"/>
      <c r="Q54" s="27"/>
      <c r="R54" s="8"/>
      <c r="S54" s="8"/>
      <c r="T54" s="27"/>
      <c r="U54" s="8"/>
      <c r="V54" s="8"/>
      <c r="W54" s="27"/>
      <c r="X54" s="8"/>
      <c r="Y54" s="8"/>
      <c r="Z54" s="27"/>
      <c r="AA54" s="25"/>
      <c r="AB54" s="25"/>
      <c r="AC54" s="27"/>
      <c r="AD54" s="25"/>
      <c r="AE54" s="25"/>
      <c r="AF54" s="27"/>
      <c r="AG54" s="8"/>
      <c r="AH54" s="8"/>
      <c r="AI54" s="27"/>
      <c r="AJ54" s="8"/>
      <c r="AK54" s="8"/>
      <c r="AL54" s="27"/>
      <c r="AM54" s="8"/>
      <c r="AN54" s="8"/>
      <c r="AO54" s="25"/>
      <c r="AP54" s="5"/>
    </row>
    <row r="55" spans="1:42" x14ac:dyDescent="0.2">
      <c r="A55" s="6">
        <v>65</v>
      </c>
      <c r="B55" s="196" t="s">
        <v>802</v>
      </c>
      <c r="C55" s="197">
        <f t="shared" si="13"/>
        <v>0</v>
      </c>
      <c r="D55" s="198" t="s">
        <v>22</v>
      </c>
      <c r="E55" s="199">
        <f t="shared" si="14"/>
        <v>0</v>
      </c>
      <c r="G55" s="49"/>
      <c r="H55" s="51"/>
      <c r="I55" s="27"/>
      <c r="J55" s="8"/>
      <c r="K55" s="8"/>
      <c r="L55" s="8"/>
      <c r="M55" s="27"/>
      <c r="N55" s="8"/>
      <c r="O55" s="8"/>
      <c r="P55" s="8"/>
      <c r="Q55" s="27"/>
      <c r="R55" s="8"/>
      <c r="S55" s="8"/>
      <c r="T55" s="27"/>
      <c r="U55" s="8"/>
      <c r="V55" s="8"/>
      <c r="W55" s="27"/>
      <c r="X55" s="8"/>
      <c r="Y55" s="8"/>
      <c r="Z55" s="27"/>
      <c r="AA55" s="25"/>
      <c r="AB55" s="25"/>
      <c r="AC55" s="27"/>
      <c r="AD55" s="25"/>
      <c r="AE55" s="25"/>
      <c r="AF55" s="27"/>
      <c r="AG55" s="8"/>
      <c r="AH55" s="8"/>
      <c r="AI55" s="27"/>
      <c r="AJ55" s="8"/>
      <c r="AK55" s="8"/>
      <c r="AL55" s="27"/>
      <c r="AM55" s="8"/>
      <c r="AN55" s="8"/>
      <c r="AO55" s="25"/>
      <c r="AP55" s="5"/>
    </row>
    <row r="56" spans="1:42" x14ac:dyDescent="0.2">
      <c r="A56" s="6">
        <v>66</v>
      </c>
      <c r="B56" s="196" t="s">
        <v>803</v>
      </c>
      <c r="C56" s="197">
        <f t="shared" si="13"/>
        <v>0</v>
      </c>
      <c r="D56" s="198" t="s">
        <v>22</v>
      </c>
      <c r="E56" s="199">
        <f t="shared" si="14"/>
        <v>0</v>
      </c>
      <c r="G56" s="49"/>
      <c r="H56" s="51"/>
      <c r="I56" s="27"/>
      <c r="J56" s="8"/>
      <c r="K56" s="8"/>
      <c r="L56" s="8"/>
      <c r="M56" s="27"/>
      <c r="N56" s="8"/>
      <c r="O56" s="8"/>
      <c r="P56" s="8"/>
      <c r="Q56" s="27"/>
      <c r="R56" s="8"/>
      <c r="S56" s="8"/>
      <c r="T56" s="27"/>
      <c r="U56" s="8"/>
      <c r="V56" s="8"/>
      <c r="W56" s="27"/>
      <c r="X56" s="8"/>
      <c r="Y56" s="8"/>
      <c r="Z56" s="27"/>
      <c r="AA56" s="25"/>
      <c r="AB56" s="25"/>
      <c r="AC56" s="27"/>
      <c r="AD56" s="25"/>
      <c r="AE56" s="25"/>
      <c r="AF56" s="27"/>
      <c r="AG56" s="8"/>
      <c r="AH56" s="8"/>
      <c r="AI56" s="27"/>
      <c r="AJ56" s="8"/>
      <c r="AK56" s="8"/>
      <c r="AL56" s="27"/>
      <c r="AM56" s="8"/>
      <c r="AN56" s="8"/>
      <c r="AO56" s="25"/>
      <c r="AP56" s="5"/>
    </row>
    <row r="57" spans="1:42" x14ac:dyDescent="0.2">
      <c r="A57" s="6">
        <v>67</v>
      </c>
      <c r="B57" s="7" t="s">
        <v>804</v>
      </c>
      <c r="C57" s="8">
        <f t="shared" si="13"/>
        <v>68.260000000000005</v>
      </c>
      <c r="D57" s="9" t="s">
        <v>33</v>
      </c>
      <c r="E57" s="10">
        <f t="shared" si="10"/>
        <v>0</v>
      </c>
      <c r="G57" s="49"/>
      <c r="H57" s="51"/>
      <c r="I57" s="27"/>
      <c r="J57" s="8"/>
      <c r="K57" s="8"/>
      <c r="L57" s="8"/>
      <c r="M57" s="27"/>
      <c r="N57" s="8"/>
      <c r="O57" s="8"/>
      <c r="P57" s="8"/>
      <c r="Q57" s="27"/>
      <c r="R57" s="8"/>
      <c r="S57" s="8"/>
      <c r="T57" s="27"/>
      <c r="U57" s="8"/>
      <c r="V57" s="8"/>
      <c r="W57" s="27"/>
      <c r="X57" s="8"/>
      <c r="Y57" s="8"/>
      <c r="Z57" s="27"/>
      <c r="AA57" s="25"/>
      <c r="AB57" s="25"/>
      <c r="AC57" s="27"/>
      <c r="AD57" s="25"/>
      <c r="AE57" s="25"/>
      <c r="AF57" s="27"/>
      <c r="AG57" s="8"/>
      <c r="AH57" s="8"/>
      <c r="AI57" s="27"/>
      <c r="AJ57" t="s">
        <v>195</v>
      </c>
      <c r="AK57" t="s">
        <v>92</v>
      </c>
      <c r="AL57" s="27">
        <f>2*34.13</f>
        <v>68.260000000000005</v>
      </c>
      <c r="AM57" s="8"/>
      <c r="AN57" s="8"/>
      <c r="AO57" s="25"/>
      <c r="AP57" s="5"/>
    </row>
    <row r="58" spans="1:42" x14ac:dyDescent="0.2">
      <c r="A58" s="6">
        <v>68</v>
      </c>
      <c r="B58" s="7" t="s">
        <v>805</v>
      </c>
      <c r="C58" s="8">
        <f t="shared" si="13"/>
        <v>68.260000000000005</v>
      </c>
      <c r="D58" s="9" t="s">
        <v>33</v>
      </c>
      <c r="E58" s="10">
        <f t="shared" si="10"/>
        <v>0</v>
      </c>
      <c r="G58" s="49"/>
      <c r="H58" s="51"/>
      <c r="I58" s="27"/>
      <c r="J58" s="8"/>
      <c r="K58" s="8"/>
      <c r="L58" s="8"/>
      <c r="M58" s="27"/>
      <c r="N58" s="8"/>
      <c r="O58" s="8"/>
      <c r="P58" s="8"/>
      <c r="Q58" s="27"/>
      <c r="R58" s="8"/>
      <c r="S58" s="8"/>
      <c r="T58" s="27"/>
      <c r="U58" s="8"/>
      <c r="V58" s="8"/>
      <c r="W58" s="27"/>
      <c r="X58" s="8"/>
      <c r="Y58" s="8"/>
      <c r="Z58" s="27"/>
      <c r="AA58" s="25"/>
      <c r="AB58" s="25"/>
      <c r="AC58" s="27"/>
      <c r="AD58" s="25"/>
      <c r="AE58" s="25"/>
      <c r="AF58" s="27"/>
      <c r="AG58" s="8"/>
      <c r="AH58" s="8"/>
      <c r="AI58" s="27"/>
      <c r="AJ58" t="s">
        <v>195</v>
      </c>
      <c r="AK58" t="s">
        <v>92</v>
      </c>
      <c r="AL58" s="27">
        <f>2*34.13</f>
        <v>68.260000000000005</v>
      </c>
      <c r="AM58" s="8"/>
      <c r="AN58" s="8"/>
      <c r="AO58" s="25"/>
      <c r="AP58" s="5"/>
    </row>
    <row r="59" spans="1:42" x14ac:dyDescent="0.2">
      <c r="A59" s="6">
        <v>69</v>
      </c>
      <c r="B59" s="7" t="s">
        <v>71</v>
      </c>
      <c r="C59" s="8">
        <f t="shared" si="9"/>
        <v>4186.1341880275004</v>
      </c>
      <c r="D59" s="9" t="s">
        <v>33</v>
      </c>
      <c r="E59" s="10">
        <f t="shared" si="10"/>
        <v>4170.5039707775004</v>
      </c>
      <c r="F59" t="s">
        <v>293</v>
      </c>
      <c r="G59" t="s">
        <v>25</v>
      </c>
      <c r="I59" s="27">
        <v>4170.5039707775004</v>
      </c>
      <c r="J59" s="8"/>
      <c r="K59" s="8"/>
      <c r="L59" s="8"/>
      <c r="M59" s="27"/>
      <c r="N59" s="8"/>
      <c r="O59" s="8"/>
      <c r="P59" s="8"/>
      <c r="Q59" s="27"/>
      <c r="R59" s="8"/>
      <c r="S59" s="8"/>
      <c r="T59" s="27"/>
      <c r="U59" s="8"/>
      <c r="V59" s="8"/>
      <c r="W59" s="27"/>
      <c r="X59" s="8"/>
      <c r="Y59" s="8"/>
      <c r="Z59" s="27"/>
      <c r="AA59" s="25"/>
      <c r="AB59" s="25"/>
      <c r="AC59" s="27"/>
      <c r="AD59" s="25"/>
      <c r="AE59" s="25"/>
      <c r="AF59" s="27"/>
      <c r="AG59" s="8"/>
      <c r="AH59" s="8" t="s">
        <v>25</v>
      </c>
      <c r="AI59" s="27">
        <f>'Yhtiökohtaiset arvot'!D20/(8/4)</f>
        <v>4.5854562499999991</v>
      </c>
      <c r="AJ59" s="8"/>
      <c r="AK59" s="8"/>
      <c r="AL59" s="27"/>
      <c r="AM59" t="s">
        <v>236</v>
      </c>
      <c r="AN59" s="8" t="s">
        <v>25</v>
      </c>
      <c r="AO59" s="25">
        <f>690/1000*IF(ISNUMBER('Yhtiökohtaiset arvot'!D25),'Yhtiökohtaiset arvot'!D25,'Yhtiökohtaiset arvot'!B25)*IF(ISNUMBER('Yhtiökohtaiset arvot'!D26),'Yhtiökohtaiset arvot'!D26,'Yhtiökohtaiset arvot'!B26)/1000</f>
        <v>11.044761000000001</v>
      </c>
      <c r="AP59" s="5"/>
    </row>
    <row r="60" spans="1:42" x14ac:dyDescent="0.2">
      <c r="A60" s="6">
        <v>70</v>
      </c>
      <c r="B60" s="7" t="s">
        <v>73</v>
      </c>
      <c r="C60" s="8">
        <f t="shared" si="9"/>
        <v>2065.0587443721997</v>
      </c>
      <c r="D60" s="9" t="s">
        <v>33</v>
      </c>
      <c r="E60" s="10">
        <f t="shared" si="10"/>
        <v>2055.0309421222</v>
      </c>
      <c r="F60" t="s">
        <v>293</v>
      </c>
      <c r="G60" t="s">
        <v>25</v>
      </c>
      <c r="I60" s="27">
        <v>2055.0309421222</v>
      </c>
      <c r="J60" s="8"/>
      <c r="K60" s="8"/>
      <c r="L60" s="8"/>
      <c r="M60" s="27"/>
      <c r="N60" s="8"/>
      <c r="O60" s="8"/>
      <c r="P60" s="8"/>
      <c r="Q60" s="27"/>
      <c r="R60" s="8"/>
      <c r="S60" s="8"/>
      <c r="T60" s="27"/>
      <c r="U60" s="8"/>
      <c r="V60" s="8"/>
      <c r="W60" s="27"/>
      <c r="X60" s="8"/>
      <c r="Y60" s="8"/>
      <c r="Z60" s="27"/>
      <c r="AA60" s="25"/>
      <c r="AB60" s="25"/>
      <c r="AC60" s="27"/>
      <c r="AD60" s="25"/>
      <c r="AE60" s="25"/>
      <c r="AF60" s="27"/>
      <c r="AG60" s="8"/>
      <c r="AH60" s="8" t="s">
        <v>25</v>
      </c>
      <c r="AI60" s="27">
        <f>'Yhtiökohtaiset arvot'!D20/(8/4)</f>
        <v>4.5854562499999991</v>
      </c>
      <c r="AJ60" s="8"/>
      <c r="AK60" s="8"/>
      <c r="AL60" s="27"/>
      <c r="AM60" t="s">
        <v>237</v>
      </c>
      <c r="AN60" s="8" t="s">
        <v>25</v>
      </c>
      <c r="AO60" s="25">
        <f>340/1000*IF(ISNUMBER('Yhtiökohtaiset arvot'!D25),'Yhtiökohtaiset arvot'!D25,'Yhtiökohtaiset arvot'!B25)*IF(ISNUMBER('Yhtiökohtaiset arvot'!D26),'Yhtiökohtaiset arvot'!D26,'Yhtiökohtaiset arvot'!B26)/1000</f>
        <v>5.4423460000000006</v>
      </c>
      <c r="AP60" s="5"/>
    </row>
    <row r="61" spans="1:42" x14ac:dyDescent="0.2">
      <c r="A61" s="6">
        <v>71</v>
      </c>
      <c r="B61" s="7" t="s">
        <v>74</v>
      </c>
      <c r="C61" s="8">
        <f t="shared" si="9"/>
        <v>2792.2846107682999</v>
      </c>
      <c r="D61" s="9" t="s">
        <v>33</v>
      </c>
      <c r="E61" s="10">
        <f>SUM(I61,M61,Q61,T61,W61,Z61,AC61,AF61)</f>
        <v>2780.3359805182999</v>
      </c>
      <c r="F61" t="s">
        <v>293</v>
      </c>
      <c r="G61" t="s">
        <v>25</v>
      </c>
      <c r="I61" s="27">
        <v>2780.3359805182999</v>
      </c>
      <c r="J61" s="8"/>
      <c r="K61" s="8"/>
      <c r="L61" s="8"/>
      <c r="M61" s="27"/>
      <c r="N61" s="8"/>
      <c r="O61" s="8"/>
      <c r="P61" s="8"/>
      <c r="Q61" s="27"/>
      <c r="R61" s="8"/>
      <c r="S61" s="8"/>
      <c r="T61" s="27"/>
      <c r="U61" s="8"/>
      <c r="V61" s="8"/>
      <c r="W61" s="27"/>
      <c r="X61" s="8"/>
      <c r="Y61" s="8"/>
      <c r="Z61" s="27"/>
      <c r="AA61" s="25"/>
      <c r="AB61" s="25"/>
      <c r="AC61" s="27"/>
      <c r="AD61" s="25"/>
      <c r="AE61" s="25"/>
      <c r="AF61" s="27"/>
      <c r="AG61" s="8"/>
      <c r="AH61" s="8" t="s">
        <v>25</v>
      </c>
      <c r="AI61" s="27">
        <f>'Yhtiökohtaiset arvot'!D20/(8/4)</f>
        <v>4.5854562499999991</v>
      </c>
      <c r="AJ61" s="8"/>
      <c r="AK61" s="8"/>
      <c r="AL61" s="27"/>
      <c r="AM61" t="s">
        <v>238</v>
      </c>
      <c r="AN61" s="8" t="s">
        <v>25</v>
      </c>
      <c r="AO61" s="25">
        <f>460/1000*IF(ISNUMBER('Yhtiökohtaiset arvot'!D25),'Yhtiökohtaiset arvot'!D25,'Yhtiökohtaiset arvot'!B25)*IF(ISNUMBER('Yhtiökohtaiset arvot'!D26),'Yhtiökohtaiset arvot'!D26,'Yhtiökohtaiset arvot'!B26)/1000</f>
        <v>7.3631740000000008</v>
      </c>
      <c r="AP61" s="5"/>
    </row>
    <row r="62" spans="1:42" x14ac:dyDescent="0.2">
      <c r="A62" s="6">
        <v>72</v>
      </c>
      <c r="B62" s="196" t="s">
        <v>806</v>
      </c>
      <c r="C62" s="197">
        <f t="shared" ref="C62" si="15">SUM(I62,M62,Q62,T62,W62,Z62,AC62,AF62,AI62,AL62,AO62)</f>
        <v>0</v>
      </c>
      <c r="D62" s="198" t="s">
        <v>33</v>
      </c>
      <c r="E62" s="199">
        <f>SUM(I62,M62,Q62,T62,W62,Z62,AC62,AF62)</f>
        <v>0</v>
      </c>
      <c r="G62" s="8"/>
      <c r="I62" s="27"/>
      <c r="K62" s="49"/>
      <c r="L62" s="51"/>
      <c r="M62" s="27"/>
      <c r="P62" s="8"/>
      <c r="Q62" s="27"/>
      <c r="R62" s="8"/>
      <c r="S62" s="8"/>
      <c r="T62" s="27"/>
      <c r="U62" s="8"/>
      <c r="V62" s="8"/>
      <c r="W62" s="27"/>
      <c r="X62" s="8"/>
      <c r="Y62" s="8"/>
      <c r="Z62" s="27"/>
      <c r="AA62" s="25"/>
      <c r="AB62" s="25"/>
      <c r="AC62" s="27"/>
      <c r="AD62" s="25"/>
      <c r="AE62" s="25"/>
      <c r="AF62" s="27"/>
      <c r="AG62" s="8"/>
      <c r="AH62" s="8"/>
      <c r="AI62" s="27"/>
      <c r="AJ62" s="8"/>
      <c r="AK62" s="8"/>
      <c r="AL62" s="27"/>
      <c r="AN62" s="8"/>
      <c r="AO62" s="25"/>
      <c r="AP62" s="5"/>
    </row>
    <row r="63" spans="1:42" x14ac:dyDescent="0.2">
      <c r="A63" s="6">
        <v>73</v>
      </c>
      <c r="B63" s="196" t="s">
        <v>807</v>
      </c>
      <c r="C63" s="197">
        <f t="shared" ref="C63" si="16">SUM(I63,M63,Q63,T63,W63,Z63,AC63,AF63,AI63,AL63,AO63)</f>
        <v>0</v>
      </c>
      <c r="D63" s="198" t="s">
        <v>33</v>
      </c>
      <c r="E63" s="199">
        <f t="shared" ref="E63" si="17">SUM(I63,M63,Q63,T63,W63,Z63,AC63,AF63)</f>
        <v>0</v>
      </c>
      <c r="I63" s="27"/>
      <c r="J63" s="8"/>
      <c r="K63" s="8"/>
      <c r="L63" s="8"/>
      <c r="M63" s="27"/>
      <c r="N63" s="8"/>
      <c r="O63" s="8"/>
      <c r="P63" s="8"/>
      <c r="Q63" s="27"/>
      <c r="R63" s="8"/>
      <c r="S63" s="8"/>
      <c r="T63" s="27"/>
      <c r="U63" s="8"/>
      <c r="V63" s="8"/>
      <c r="W63" s="27"/>
      <c r="X63" s="8"/>
      <c r="Y63" s="8"/>
      <c r="Z63" s="27"/>
      <c r="AA63" s="25"/>
      <c r="AB63" s="25"/>
      <c r="AC63" s="27"/>
      <c r="AD63" s="25"/>
      <c r="AE63" s="25"/>
      <c r="AF63" s="27"/>
      <c r="AG63" s="8"/>
      <c r="AH63" s="8"/>
      <c r="AI63" s="27"/>
      <c r="AJ63" s="8"/>
      <c r="AK63" s="8"/>
      <c r="AL63" s="27"/>
      <c r="AN63" s="8"/>
      <c r="AO63" s="25"/>
      <c r="AP63" s="5"/>
    </row>
    <row r="64" spans="1:42" x14ac:dyDescent="0.2">
      <c r="A64" s="6">
        <v>74</v>
      </c>
      <c r="B64" s="7" t="s">
        <v>75</v>
      </c>
      <c r="C64" s="8">
        <f t="shared" si="9"/>
        <v>1117.2030527166667</v>
      </c>
      <c r="D64" s="9" t="s">
        <v>33</v>
      </c>
      <c r="E64" s="10">
        <f t="shared" si="10"/>
        <v>1078.3308166666666</v>
      </c>
      <c r="F64" t="s">
        <v>76</v>
      </c>
      <c r="G64" t="s">
        <v>24</v>
      </c>
      <c r="I64" s="27">
        <v>949.58299999999997</v>
      </c>
      <c r="J64" s="8" t="s">
        <v>36</v>
      </c>
      <c r="K64" s="8" t="s">
        <v>25</v>
      </c>
      <c r="L64" s="8"/>
      <c r="M64" s="27">
        <v>61.831150000000001</v>
      </c>
      <c r="N64" s="8" t="s">
        <v>77</v>
      </c>
      <c r="O64" s="8" t="s">
        <v>25</v>
      </c>
      <c r="P64" s="8"/>
      <c r="Q64" s="27">
        <v>66.9166666666667</v>
      </c>
      <c r="R64" s="8"/>
      <c r="S64" s="8"/>
      <c r="T64" s="27"/>
      <c r="U64" s="8"/>
      <c r="V64" s="8"/>
      <c r="W64" s="27"/>
      <c r="X64" s="8"/>
      <c r="Y64" s="8"/>
      <c r="Z64" s="27"/>
      <c r="AA64" s="25"/>
      <c r="AB64" s="25"/>
      <c r="AC64" s="27"/>
      <c r="AD64" s="25"/>
      <c r="AE64" s="25"/>
      <c r="AF64" s="27"/>
      <c r="AG64" s="8"/>
      <c r="AH64" s="8" t="s">
        <v>25</v>
      </c>
      <c r="AI64" s="27">
        <f>'Yhtiökohtaiset arvot'!D20/(8/4)</f>
        <v>4.5854562499999991</v>
      </c>
      <c r="AJ64" s="8"/>
      <c r="AK64" s="8"/>
      <c r="AL64" s="27"/>
      <c r="AM64" t="s">
        <v>745</v>
      </c>
      <c r="AN64" s="8"/>
      <c r="AO64" s="25">
        <f>(4200*0.51)/1000*IF(ISNUMBER('Yhtiökohtaiset arvot'!D25),'Yhtiökohtaiset arvot'!D25,'Yhtiökohtaiset arvot'!B25)*IF(ISNUMBER('Yhtiökohtaiset arvot'!D26),'Yhtiökohtaiset arvot'!D26,'Yhtiökohtaiset arvot'!B26)/1000</f>
        <v>34.286779800000005</v>
      </c>
      <c r="AP64" s="5"/>
    </row>
    <row r="65" spans="1:41" x14ac:dyDescent="0.2">
      <c r="A65" s="6">
        <v>75</v>
      </c>
      <c r="B65" s="196" t="s">
        <v>808</v>
      </c>
      <c r="C65" s="197">
        <f t="shared" ref="C65" si="18">SUM(I65,M65,Q65,T65,W65,Z65,AC65,AF65,AI65,AL65,AO65)</f>
        <v>0</v>
      </c>
      <c r="D65" s="198" t="s">
        <v>33</v>
      </c>
      <c r="E65" s="199">
        <f t="shared" ref="E65" si="19">SUM(I65,M65,Q65,T65,W65,Z65,AC65,AF65)</f>
        <v>0</v>
      </c>
      <c r="I65" s="27"/>
      <c r="J65" s="8"/>
      <c r="K65" s="8"/>
      <c r="L65" s="8"/>
      <c r="M65" s="27"/>
      <c r="N65" s="8"/>
      <c r="O65" s="8"/>
      <c r="P65" s="8"/>
      <c r="Q65" s="27"/>
      <c r="R65" s="8"/>
      <c r="S65" s="8"/>
      <c r="T65" s="27"/>
      <c r="U65" s="8"/>
      <c r="V65" s="8"/>
      <c r="W65" s="27"/>
      <c r="X65" s="8"/>
      <c r="Y65" s="8"/>
      <c r="Z65" s="27"/>
      <c r="AA65" s="25"/>
      <c r="AB65" s="25"/>
      <c r="AC65" s="27"/>
      <c r="AD65" s="25"/>
      <c r="AE65" s="25"/>
      <c r="AF65" s="27"/>
      <c r="AG65" s="8"/>
      <c r="AH65" s="8"/>
      <c r="AI65" s="27"/>
      <c r="AJ65" s="8"/>
      <c r="AK65" s="8"/>
      <c r="AL65" s="27"/>
      <c r="AN65" s="8"/>
      <c r="AO65" s="25"/>
    </row>
    <row r="66" spans="1:41" x14ac:dyDescent="0.2">
      <c r="A66" s="6">
        <v>76</v>
      </c>
      <c r="B66" s="7" t="s">
        <v>78</v>
      </c>
      <c r="C66" s="8">
        <f t="shared" si="9"/>
        <v>2836.26876825</v>
      </c>
      <c r="D66" s="9" t="s">
        <v>33</v>
      </c>
      <c r="E66" s="10">
        <f t="shared" si="10"/>
        <v>2824</v>
      </c>
      <c r="F66" t="s">
        <v>291</v>
      </c>
      <c r="G66" s="49" t="s">
        <v>271</v>
      </c>
      <c r="H66" s="51" t="s">
        <v>284</v>
      </c>
      <c r="I66" s="27">
        <v>2824</v>
      </c>
      <c r="M66" s="27"/>
      <c r="Q66" s="27"/>
      <c r="T66" s="27"/>
      <c r="W66" s="27"/>
      <c r="Z66" s="27"/>
      <c r="AA66" s="25"/>
      <c r="AB66" s="25"/>
      <c r="AC66" s="27"/>
      <c r="AD66" s="25"/>
      <c r="AE66" s="25"/>
      <c r="AF66" s="27"/>
      <c r="AH66" s="8" t="s">
        <v>25</v>
      </c>
      <c r="AI66" s="27">
        <f>'Yhtiökohtaiset arvot'!D20/(8/4)</f>
        <v>4.5854562499999991</v>
      </c>
      <c r="AL66" s="27"/>
      <c r="AM66" t="s">
        <v>246</v>
      </c>
      <c r="AO66" s="27">
        <f>480/1000*IF(ISNUMBER('Yhtiökohtaiset arvot'!D25),'Yhtiökohtaiset arvot'!D25,'Yhtiökohtaiset arvot'!B25)*IF(ISNUMBER('Yhtiökohtaiset arvot'!D26),'Yhtiökohtaiset arvot'!D26,'Yhtiökohtaiset arvot'!B26)/1000</f>
        <v>7.6833120000000008</v>
      </c>
    </row>
    <row r="67" spans="1:41" x14ac:dyDescent="0.2">
      <c r="A67" s="6">
        <v>77</v>
      </c>
      <c r="B67" s="7" t="s">
        <v>79</v>
      </c>
      <c r="C67" s="8">
        <f t="shared" si="9"/>
        <v>4959.5493202500002</v>
      </c>
      <c r="D67" s="9" t="s">
        <v>33</v>
      </c>
      <c r="E67" s="10">
        <f t="shared" si="10"/>
        <v>4946</v>
      </c>
      <c r="F67" t="s">
        <v>291</v>
      </c>
      <c r="G67" s="49" t="s">
        <v>271</v>
      </c>
      <c r="H67" s="51" t="s">
        <v>284</v>
      </c>
      <c r="I67" s="27">
        <v>4946</v>
      </c>
      <c r="M67" s="27"/>
      <c r="Q67" s="27"/>
      <c r="T67" s="27"/>
      <c r="W67" s="27"/>
      <c r="Z67" s="27"/>
      <c r="AA67" s="25"/>
      <c r="AB67" s="25"/>
      <c r="AC67" s="27"/>
      <c r="AD67" s="25"/>
      <c r="AE67" s="25"/>
      <c r="AF67" s="27"/>
      <c r="AH67" s="8" t="s">
        <v>25</v>
      </c>
      <c r="AI67" s="27">
        <f>'Yhtiökohtaiset arvot'!D20/(8/4)</f>
        <v>4.5854562499999991</v>
      </c>
      <c r="AL67" s="27"/>
      <c r="AM67" t="s">
        <v>245</v>
      </c>
      <c r="AO67" s="27">
        <f>560/1000*IF(ISNUMBER('Yhtiökohtaiset arvot'!D25),'Yhtiökohtaiset arvot'!D25,'Yhtiökohtaiset arvot'!B25)*IF(ISNUMBER('Yhtiökohtaiset arvot'!D26),'Yhtiökohtaiset arvot'!D26,'Yhtiökohtaiset arvot'!B26)/1000</f>
        <v>8.9638640000000009</v>
      </c>
    </row>
    <row r="68" spans="1:41" x14ac:dyDescent="0.2">
      <c r="A68" s="6">
        <v>78</v>
      </c>
      <c r="B68" s="7" t="s">
        <v>80</v>
      </c>
      <c r="C68" s="8">
        <f t="shared" si="9"/>
        <v>6019.1913212500003</v>
      </c>
      <c r="D68" s="9" t="s">
        <v>33</v>
      </c>
      <c r="E68" s="10">
        <f t="shared" si="10"/>
        <v>6001</v>
      </c>
      <c r="F68" t="s">
        <v>291</v>
      </c>
      <c r="G68" s="49" t="s">
        <v>271</v>
      </c>
      <c r="H68" s="51" t="s">
        <v>284</v>
      </c>
      <c r="I68" s="27">
        <v>6001</v>
      </c>
      <c r="M68" s="27"/>
      <c r="Q68" s="27"/>
      <c r="T68" s="27"/>
      <c r="W68" s="27"/>
      <c r="Z68" s="27"/>
      <c r="AA68" s="25"/>
      <c r="AB68" s="25"/>
      <c r="AC68" s="27"/>
      <c r="AD68" s="25"/>
      <c r="AE68" s="25"/>
      <c r="AF68" s="27"/>
      <c r="AH68" s="8" t="s">
        <v>25</v>
      </c>
      <c r="AI68" s="27">
        <f>'Yhtiökohtaiset arvot'!D20/(8/4)</f>
        <v>4.5854562499999991</v>
      </c>
      <c r="AL68" s="27"/>
      <c r="AM68" t="s">
        <v>241</v>
      </c>
      <c r="AO68" s="27">
        <f>850/1000*IF(ISNUMBER('Yhtiökohtaiset arvot'!D25),'Yhtiökohtaiset arvot'!D25,'Yhtiökohtaiset arvot'!B25)*IF(ISNUMBER('Yhtiökohtaiset arvot'!D26),'Yhtiökohtaiset arvot'!D26,'Yhtiökohtaiset arvot'!B26)/1000</f>
        <v>13.605865000000001</v>
      </c>
    </row>
    <row r="69" spans="1:41" x14ac:dyDescent="0.2">
      <c r="A69" s="6">
        <v>79</v>
      </c>
      <c r="B69" s="7" t="s">
        <v>81</v>
      </c>
      <c r="C69" s="8">
        <f t="shared" si="9"/>
        <v>9909.2343572500013</v>
      </c>
      <c r="D69" s="9" t="s">
        <v>33</v>
      </c>
      <c r="E69" s="10">
        <f t="shared" si="10"/>
        <v>9884</v>
      </c>
      <c r="F69" t="s">
        <v>291</v>
      </c>
      <c r="G69" s="49" t="s">
        <v>271</v>
      </c>
      <c r="H69" s="51" t="s">
        <v>284</v>
      </c>
      <c r="I69" s="27">
        <v>9884</v>
      </c>
      <c r="M69" s="27"/>
      <c r="Q69" s="27"/>
      <c r="T69" s="27"/>
      <c r="W69" s="27"/>
      <c r="Z69" s="27"/>
      <c r="AA69" s="25"/>
      <c r="AB69" s="25"/>
      <c r="AC69" s="27"/>
      <c r="AD69" s="25"/>
      <c r="AE69" s="25"/>
      <c r="AF69" s="27"/>
      <c r="AH69" s="8" t="s">
        <v>25</v>
      </c>
      <c r="AI69" s="27">
        <f>'Yhtiökohtaiset arvot'!D20/(8/4)</f>
        <v>4.5854562499999991</v>
      </c>
      <c r="AL69" s="27"/>
      <c r="AM69" t="s">
        <v>242</v>
      </c>
      <c r="AO69" s="27">
        <f>1290/1000*IF(ISNUMBER('Yhtiökohtaiset arvot'!D25),'Yhtiökohtaiset arvot'!D25,'Yhtiökohtaiset arvot'!B25)*IF(ISNUMBER('Yhtiökohtaiset arvot'!D26),'Yhtiökohtaiset arvot'!D26,'Yhtiökohtaiset arvot'!B26)/1000</f>
        <v>20.648901000000002</v>
      </c>
    </row>
    <row r="70" spans="1:41" x14ac:dyDescent="0.2">
      <c r="A70" s="6">
        <v>80</v>
      </c>
      <c r="B70" s="7" t="s">
        <v>82</v>
      </c>
      <c r="C70" s="8">
        <f t="shared" si="9"/>
        <v>12365.516634250002</v>
      </c>
      <c r="D70" s="9" t="s">
        <v>33</v>
      </c>
      <c r="E70" s="10">
        <f t="shared" si="10"/>
        <v>12335</v>
      </c>
      <c r="F70" t="s">
        <v>291</v>
      </c>
      <c r="G70" s="49" t="s">
        <v>271</v>
      </c>
      <c r="H70" s="51" t="s">
        <v>284</v>
      </c>
      <c r="I70" s="27">
        <v>12335</v>
      </c>
      <c r="M70" s="27"/>
      <c r="Q70" s="27"/>
      <c r="T70" s="27"/>
      <c r="W70" s="27"/>
      <c r="Z70" s="27"/>
      <c r="AA70" s="25"/>
      <c r="AB70" s="25"/>
      <c r="AC70" s="27"/>
      <c r="AD70" s="25"/>
      <c r="AE70" s="25"/>
      <c r="AF70" s="27"/>
      <c r="AH70" s="8" t="s">
        <v>25</v>
      </c>
      <c r="AI70" s="27">
        <f>'Yhtiökohtaiset arvot'!D20/(8/4)</f>
        <v>4.5854562499999991</v>
      </c>
      <c r="AL70" s="27"/>
      <c r="AM70" t="s">
        <v>244</v>
      </c>
      <c r="AO70" s="27">
        <f>1620/1000*IF(ISNUMBER('Yhtiökohtaiset arvot'!D25),'Yhtiökohtaiset arvot'!D25,'Yhtiökohtaiset arvot'!B25)*IF(ISNUMBER('Yhtiökohtaiset arvot'!D26),'Yhtiökohtaiset arvot'!D26,'Yhtiökohtaiset arvot'!B26)/1000</f>
        <v>25.931178000000003</v>
      </c>
    </row>
    <row r="71" spans="1:41" x14ac:dyDescent="0.2">
      <c r="A71" s="6">
        <v>81</v>
      </c>
      <c r="B71" s="7" t="s">
        <v>83</v>
      </c>
      <c r="C71" s="8">
        <f t="shared" si="9"/>
        <v>14157.663194499999</v>
      </c>
      <c r="D71" s="9" t="s">
        <v>33</v>
      </c>
      <c r="E71" s="10">
        <f t="shared" si="10"/>
        <v>14120</v>
      </c>
      <c r="F71" t="s">
        <v>291</v>
      </c>
      <c r="G71" s="49" t="s">
        <v>271</v>
      </c>
      <c r="H71" s="51" t="s">
        <v>284</v>
      </c>
      <c r="I71" s="27">
        <v>14120</v>
      </c>
      <c r="M71" s="27"/>
      <c r="Q71" s="27"/>
      <c r="T71" s="27"/>
      <c r="W71" s="27"/>
      <c r="Z71" s="27"/>
      <c r="AA71" s="25"/>
      <c r="AB71" s="25"/>
      <c r="AC71" s="27"/>
      <c r="AD71" s="25"/>
      <c r="AE71" s="25"/>
      <c r="AF71" s="27"/>
      <c r="AH71" s="8" t="s">
        <v>25</v>
      </c>
      <c r="AI71" s="27">
        <f>'Yhtiökohtaiset arvot'!D20/(8/8)</f>
        <v>9.1709124999999982</v>
      </c>
      <c r="AL71" s="27"/>
      <c r="AM71" t="s">
        <v>249</v>
      </c>
      <c r="AO71" s="27">
        <f>1780/1000*IF(ISNUMBER('Yhtiökohtaiset arvot'!D25),'Yhtiökohtaiset arvot'!D25,'Yhtiökohtaiset arvot'!B25)*IF(ISNUMBER('Yhtiökohtaiset arvot'!D26),'Yhtiökohtaiset arvot'!D26,'Yhtiökohtaiset arvot'!B26)/1000</f>
        <v>28.492282000000003</v>
      </c>
    </row>
    <row r="72" spans="1:41" x14ac:dyDescent="0.2">
      <c r="A72" s="6">
        <v>82</v>
      </c>
      <c r="B72" s="7" t="s">
        <v>84</v>
      </c>
      <c r="C72" s="8">
        <f t="shared" si="9"/>
        <v>15926.664919499999</v>
      </c>
      <c r="D72" s="9" t="s">
        <v>33</v>
      </c>
      <c r="E72" s="10">
        <f t="shared" si="10"/>
        <v>15885</v>
      </c>
      <c r="F72" t="s">
        <v>291</v>
      </c>
      <c r="G72" s="49" t="s">
        <v>271</v>
      </c>
      <c r="H72" s="51" t="s">
        <v>284</v>
      </c>
      <c r="I72" s="27">
        <v>15885</v>
      </c>
      <c r="M72" s="27"/>
      <c r="Q72" s="27"/>
      <c r="T72" s="27"/>
      <c r="W72" s="27"/>
      <c r="Z72" s="27"/>
      <c r="AA72" s="25"/>
      <c r="AB72" s="25"/>
      <c r="AC72" s="27"/>
      <c r="AD72" s="25"/>
      <c r="AE72" s="25"/>
      <c r="AF72" s="27"/>
      <c r="AH72" s="8" t="s">
        <v>25</v>
      </c>
      <c r="AI72" s="27">
        <f>'Yhtiökohtaiset arvot'!D20/(8/8)</f>
        <v>9.1709124999999982</v>
      </c>
      <c r="AL72" s="27"/>
      <c r="AM72" t="s">
        <v>239</v>
      </c>
      <c r="AO72" s="27">
        <f>2030/1000*IF(ISNUMBER('Yhtiökohtaiset arvot'!D25),'Yhtiökohtaiset arvot'!D25,'Yhtiökohtaiset arvot'!B25)*IF(ISNUMBER('Yhtiökohtaiset arvot'!D26),'Yhtiökohtaiset arvot'!D26,'Yhtiökohtaiset arvot'!B26)/1000</f>
        <v>32.494006999999996</v>
      </c>
    </row>
    <row r="73" spans="1:41" x14ac:dyDescent="0.2">
      <c r="A73" s="6">
        <v>83</v>
      </c>
      <c r="B73" s="7" t="s">
        <v>85</v>
      </c>
      <c r="C73" s="8">
        <f t="shared" si="9"/>
        <v>17344.907610500002</v>
      </c>
      <c r="D73" s="9" t="s">
        <v>33</v>
      </c>
      <c r="E73" s="10">
        <f t="shared" si="10"/>
        <v>17297</v>
      </c>
      <c r="F73" t="s">
        <v>291</v>
      </c>
      <c r="G73" s="49" t="s">
        <v>271</v>
      </c>
      <c r="H73" s="51" t="s">
        <v>284</v>
      </c>
      <c r="I73" s="27">
        <v>17297</v>
      </c>
      <c r="M73" s="27"/>
      <c r="Q73" s="27"/>
      <c r="T73" s="27"/>
      <c r="W73" s="27"/>
      <c r="Z73" s="27"/>
      <c r="AA73" s="25"/>
      <c r="AB73" s="25"/>
      <c r="AC73" s="27"/>
      <c r="AD73" s="25"/>
      <c r="AE73" s="25"/>
      <c r="AF73" s="27"/>
      <c r="AH73" s="8" t="s">
        <v>25</v>
      </c>
      <c r="AI73" s="27">
        <f>'Yhtiökohtaiset arvot'!D20/(8/8)</f>
        <v>9.1709124999999982</v>
      </c>
      <c r="AL73" s="27"/>
      <c r="AM73" t="s">
        <v>248</v>
      </c>
      <c r="AO73" s="27">
        <f>2420/1000*IF(ISNUMBER('Yhtiökohtaiset arvot'!D25),'Yhtiökohtaiset arvot'!D25,'Yhtiökohtaiset arvot'!B25)*IF(ISNUMBER('Yhtiökohtaiset arvot'!D26),'Yhtiökohtaiset arvot'!D26,'Yhtiökohtaiset arvot'!B26)/1000</f>
        <v>38.736698000000004</v>
      </c>
    </row>
    <row r="74" spans="1:41" x14ac:dyDescent="0.2">
      <c r="A74" s="6">
        <v>84</v>
      </c>
      <c r="B74" s="7" t="s">
        <v>86</v>
      </c>
      <c r="C74" s="8">
        <f t="shared" si="9"/>
        <v>20174.670094500001</v>
      </c>
      <c r="D74" s="9" t="s">
        <v>33</v>
      </c>
      <c r="E74" s="10">
        <f t="shared" si="10"/>
        <v>20121</v>
      </c>
      <c r="F74" t="s">
        <v>291</v>
      </c>
      <c r="G74" s="49" t="s">
        <v>271</v>
      </c>
      <c r="H74" s="51" t="s">
        <v>284</v>
      </c>
      <c r="I74" s="27">
        <v>20121</v>
      </c>
      <c r="M74" s="27"/>
      <c r="Q74" s="27"/>
      <c r="T74" s="27"/>
      <c r="W74" s="27"/>
      <c r="Z74" s="27"/>
      <c r="AA74" s="25"/>
      <c r="AB74" s="25"/>
      <c r="AC74" s="27"/>
      <c r="AD74" s="25"/>
      <c r="AE74" s="25"/>
      <c r="AF74" s="27"/>
      <c r="AH74" s="8" t="s">
        <v>25</v>
      </c>
      <c r="AI74" s="27">
        <f>'Yhtiökohtaiset arvot'!D20/(8/8)</f>
        <v>9.1709124999999982</v>
      </c>
      <c r="AL74" s="27"/>
      <c r="AM74" t="s">
        <v>240</v>
      </c>
      <c r="AO74" s="27">
        <f>2780/1000*IF(ISNUMBER('Yhtiökohtaiset arvot'!D25),'Yhtiökohtaiset arvot'!D25,'Yhtiökohtaiset arvot'!B25)*IF(ISNUMBER('Yhtiökohtaiset arvot'!D26),'Yhtiökohtaiset arvot'!D26,'Yhtiökohtaiset arvot'!B26)/1000</f>
        <v>44.499182000000005</v>
      </c>
    </row>
    <row r="75" spans="1:41" x14ac:dyDescent="0.2">
      <c r="A75" s="6">
        <v>85</v>
      </c>
      <c r="B75" s="7" t="s">
        <v>87</v>
      </c>
      <c r="C75" s="8">
        <f t="shared" si="9"/>
        <v>22302.594372500003</v>
      </c>
      <c r="D75" s="9" t="s">
        <v>33</v>
      </c>
      <c r="E75" s="10">
        <f t="shared" si="10"/>
        <v>22239</v>
      </c>
      <c r="F75" t="s">
        <v>291</v>
      </c>
      <c r="G75" s="49" t="s">
        <v>271</v>
      </c>
      <c r="H75" s="51" t="s">
        <v>284</v>
      </c>
      <c r="I75" s="27">
        <v>22239</v>
      </c>
      <c r="M75" s="27"/>
      <c r="Q75" s="27"/>
      <c r="T75" s="27"/>
      <c r="W75" s="27"/>
      <c r="Z75" s="27"/>
      <c r="AA75" s="25"/>
      <c r="AB75" s="25"/>
      <c r="AC75" s="27"/>
      <c r="AD75" s="25"/>
      <c r="AE75" s="25"/>
      <c r="AF75" s="27"/>
      <c r="AH75" s="8" t="s">
        <v>25</v>
      </c>
      <c r="AI75" s="27">
        <f>'Yhtiökohtaiset arvot'!D20/(8/8)</f>
        <v>9.1709124999999982</v>
      </c>
      <c r="AL75" s="27"/>
      <c r="AM75" t="s">
        <v>243</v>
      </c>
      <c r="AO75" s="27">
        <f>3400/1000*IF(ISNUMBER('Yhtiökohtaiset arvot'!D25),'Yhtiökohtaiset arvot'!D25,'Yhtiökohtaiset arvot'!B25)*IF(ISNUMBER('Yhtiökohtaiset arvot'!D26),'Yhtiökohtaiset arvot'!D26,'Yhtiökohtaiset arvot'!B26)/1000</f>
        <v>54.423460000000006</v>
      </c>
    </row>
    <row r="76" spans="1:41" x14ac:dyDescent="0.2">
      <c r="A76" s="6">
        <v>86</v>
      </c>
      <c r="B76" s="7" t="s">
        <v>88</v>
      </c>
      <c r="C76" s="8">
        <f t="shared" si="9"/>
        <v>23361.754441500001</v>
      </c>
      <c r="D76" s="9" t="s">
        <v>33</v>
      </c>
      <c r="E76" s="10">
        <f t="shared" si="10"/>
        <v>23298</v>
      </c>
      <c r="F76" t="s">
        <v>291</v>
      </c>
      <c r="G76" s="49" t="s">
        <v>271</v>
      </c>
      <c r="H76" s="51" t="s">
        <v>284</v>
      </c>
      <c r="I76" s="27">
        <v>23298</v>
      </c>
      <c r="M76" s="27"/>
      <c r="Q76" s="27"/>
      <c r="T76" s="27"/>
      <c r="W76" s="27"/>
      <c r="Z76" s="27"/>
      <c r="AA76" s="25"/>
      <c r="AB76" s="25"/>
      <c r="AC76" s="27"/>
      <c r="AD76" s="25"/>
      <c r="AE76" s="25"/>
      <c r="AF76" s="27"/>
      <c r="AH76" s="8" t="s">
        <v>25</v>
      </c>
      <c r="AI76" s="27">
        <f>'Yhtiökohtaiset arvot'!D20/(8/8)</f>
        <v>9.1709124999999982</v>
      </c>
      <c r="AL76" s="27"/>
      <c r="AM76" t="s">
        <v>247</v>
      </c>
      <c r="AO76" s="27">
        <f>3410/1000*IF(ISNUMBER('Yhtiökohtaiset arvot'!D25),'Yhtiökohtaiset arvot'!D25,'Yhtiökohtaiset arvot'!B25)*IF(ISNUMBER('Yhtiökohtaiset arvot'!D26),'Yhtiökohtaiset arvot'!D26,'Yhtiökohtaiset arvot'!B26)/1000</f>
        <v>54.583529000000006</v>
      </c>
    </row>
    <row r="77" spans="1:41" x14ac:dyDescent="0.2">
      <c r="A77" s="6">
        <v>87</v>
      </c>
      <c r="B77" s="7" t="s">
        <v>89</v>
      </c>
      <c r="C77" s="8">
        <f t="shared" si="9"/>
        <v>26900.8783745</v>
      </c>
      <c r="D77" s="9" t="s">
        <v>33</v>
      </c>
      <c r="E77" s="10">
        <f t="shared" si="10"/>
        <v>26828</v>
      </c>
      <c r="F77" t="s">
        <v>291</v>
      </c>
      <c r="G77" s="49" t="s">
        <v>271</v>
      </c>
      <c r="H77" s="51" t="s">
        <v>284</v>
      </c>
      <c r="I77" s="27">
        <v>26828</v>
      </c>
      <c r="M77" s="27"/>
      <c r="Q77" s="27"/>
      <c r="T77" s="27"/>
      <c r="W77" s="27"/>
      <c r="Z77" s="27"/>
      <c r="AA77" s="25"/>
      <c r="AB77" s="25"/>
      <c r="AC77" s="27"/>
      <c r="AD77" s="25"/>
      <c r="AE77" s="25"/>
      <c r="AF77" s="27"/>
      <c r="AH77" s="8" t="s">
        <v>25</v>
      </c>
      <c r="AI77" s="27">
        <f>'Yhtiökohtaiset arvot'!D20/(8/8)</f>
        <v>9.1709124999999982</v>
      </c>
      <c r="AL77" s="27"/>
      <c r="AM77" t="s">
        <v>250</v>
      </c>
      <c r="AO77" s="27">
        <f>3980/1000*IF(ISNUMBER('Yhtiökohtaiset arvot'!D25),'Yhtiökohtaiset arvot'!D25,'Yhtiökohtaiset arvot'!B25)*IF(ISNUMBER('Yhtiökohtaiset arvot'!D26),'Yhtiökohtaiset arvot'!D26,'Yhtiökohtaiset arvot'!B26)/1000</f>
        <v>63.707462000000007</v>
      </c>
    </row>
    <row r="78" spans="1:41" x14ac:dyDescent="0.2">
      <c r="A78" s="6">
        <v>88</v>
      </c>
      <c r="B78" s="7" t="s">
        <v>90</v>
      </c>
      <c r="C78" s="8">
        <f t="shared" si="9"/>
        <v>480.33624715272106</v>
      </c>
      <c r="D78" s="9" t="s">
        <v>33</v>
      </c>
      <c r="E78" s="10">
        <f t="shared" si="10"/>
        <v>475.75079090272106</v>
      </c>
      <c r="F78" t="s">
        <v>91</v>
      </c>
      <c r="G78" s="49" t="s">
        <v>272</v>
      </c>
      <c r="H78" s="51" t="s">
        <v>284</v>
      </c>
      <c r="I78" s="27">
        <v>319.42</v>
      </c>
      <c r="J78" t="s">
        <v>611</v>
      </c>
      <c r="K78" s="49" t="s">
        <v>273</v>
      </c>
      <c r="L78" s="51" t="s">
        <v>284</v>
      </c>
      <c r="M78" s="27">
        <f>1*-184.349884097279</f>
        <v>-184.34988409727899</v>
      </c>
      <c r="N78" t="s">
        <v>603</v>
      </c>
      <c r="O78" s="8" t="s">
        <v>25</v>
      </c>
      <c r="P78" s="8"/>
      <c r="Q78" s="27">
        <f>86.32+3*10.65</f>
        <v>118.27</v>
      </c>
      <c r="R78" t="s">
        <v>194</v>
      </c>
      <c r="S78" s="8" t="s">
        <v>25</v>
      </c>
      <c r="T78" s="27">
        <f>2*27.5558</f>
        <v>55.111600000000003</v>
      </c>
      <c r="U78" t="s">
        <v>28</v>
      </c>
      <c r="V78" s="8" t="s">
        <v>25</v>
      </c>
      <c r="W78" s="27">
        <v>24.299074999999998</v>
      </c>
      <c r="X78" t="s">
        <v>93</v>
      </c>
      <c r="Y78" t="s">
        <v>94</v>
      </c>
      <c r="Z78" s="27">
        <f>10*14.3</f>
        <v>143</v>
      </c>
      <c r="AA78" s="25"/>
      <c r="AB78" s="25"/>
      <c r="AC78" s="27"/>
      <c r="AD78" s="25"/>
      <c r="AE78" s="25"/>
      <c r="AF78" s="27"/>
      <c r="AH78" s="8" t="s">
        <v>25</v>
      </c>
      <c r="AI78" s="27">
        <f>'Yhtiökohtaiset arvot'!D20/(8/4)</f>
        <v>4.5854562499999991</v>
      </c>
      <c r="AL78" s="27"/>
      <c r="AO78" s="27"/>
    </row>
    <row r="79" spans="1:41" x14ac:dyDescent="0.2">
      <c r="A79" s="6">
        <v>89</v>
      </c>
      <c r="B79" s="7" t="s">
        <v>95</v>
      </c>
      <c r="C79" s="8">
        <f t="shared" si="9"/>
        <v>400.527963055442</v>
      </c>
      <c r="D79" s="9" t="s">
        <v>33</v>
      </c>
      <c r="E79" s="10">
        <f t="shared" si="10"/>
        <v>395.94250680544201</v>
      </c>
      <c r="F79" t="s">
        <v>91</v>
      </c>
      <c r="G79" s="49" t="s">
        <v>272</v>
      </c>
      <c r="H79" s="51" t="s">
        <v>284</v>
      </c>
      <c r="I79" s="27">
        <v>319.42</v>
      </c>
      <c r="J79" t="s">
        <v>611</v>
      </c>
      <c r="K79" s="49" t="s">
        <v>273</v>
      </c>
      <c r="L79" s="51" t="s">
        <v>284</v>
      </c>
      <c r="M79" s="27">
        <f>2*-184.349884097279</f>
        <v>-368.69976819455798</v>
      </c>
      <c r="N79" t="s">
        <v>604</v>
      </c>
      <c r="O79" s="8" t="s">
        <v>25</v>
      </c>
      <c r="P79" s="8"/>
      <c r="Q79" s="27">
        <f>135.75+3*10.65</f>
        <v>167.7</v>
      </c>
      <c r="R79" t="s">
        <v>194</v>
      </c>
      <c r="S79" s="8" t="s">
        <v>25</v>
      </c>
      <c r="T79" s="27">
        <f>4*27.5558</f>
        <v>110.22320000000001</v>
      </c>
      <c r="U79" t="s">
        <v>28</v>
      </c>
      <c r="V79" s="8" t="s">
        <v>25</v>
      </c>
      <c r="W79" s="27">
        <v>24.299074999999998</v>
      </c>
      <c r="X79" t="s">
        <v>93</v>
      </c>
      <c r="Y79" t="s">
        <v>94</v>
      </c>
      <c r="Z79" s="27">
        <f>10*14.3</f>
        <v>143</v>
      </c>
      <c r="AA79" s="25"/>
      <c r="AB79" s="25"/>
      <c r="AC79" s="27"/>
      <c r="AD79" s="25"/>
      <c r="AE79" s="25"/>
      <c r="AF79" s="27"/>
      <c r="AH79" s="8" t="s">
        <v>25</v>
      </c>
      <c r="AI79" s="27">
        <f>'Yhtiökohtaiset arvot'!D20/(8/4)</f>
        <v>4.5854562499999991</v>
      </c>
      <c r="AL79" s="27"/>
      <c r="AO79" s="27"/>
    </row>
    <row r="80" spans="1:41" x14ac:dyDescent="0.2">
      <c r="A80" s="6">
        <v>90</v>
      </c>
      <c r="B80" s="196" t="s">
        <v>809</v>
      </c>
      <c r="C80" s="197">
        <f t="shared" ref="C80" si="20">SUM(I80,M80,Q80,T80,W80,Z80,AC80,AF80,AI80,AL80,AO80)</f>
        <v>0</v>
      </c>
      <c r="D80" s="198" t="s">
        <v>33</v>
      </c>
      <c r="E80" s="199">
        <f t="shared" ref="E80" si="21">SUM(I80,M80,Q80,T80,W80,Z80,AC80,AF80)</f>
        <v>0</v>
      </c>
      <c r="G80" s="49"/>
      <c r="H80" s="51"/>
      <c r="I80" s="27"/>
      <c r="K80" s="49"/>
      <c r="L80" s="51"/>
      <c r="M80" s="27"/>
      <c r="O80" s="8"/>
      <c r="P80" s="8"/>
      <c r="Q80" s="27"/>
      <c r="S80" s="8"/>
      <c r="T80" s="27"/>
      <c r="V80" s="49"/>
      <c r="W80" s="27"/>
      <c r="Z80" s="27"/>
      <c r="AA80" s="25"/>
      <c r="AB80" s="25"/>
      <c r="AC80" s="27"/>
      <c r="AD80" s="25"/>
      <c r="AE80" s="25"/>
      <c r="AF80" s="27"/>
      <c r="AH80" s="8"/>
      <c r="AI80" s="27"/>
      <c r="AL80" s="27"/>
      <c r="AO80" s="27"/>
    </row>
    <row r="81" spans="1:41" x14ac:dyDescent="0.2">
      <c r="A81" s="6">
        <v>91</v>
      </c>
      <c r="B81" s="7" t="s">
        <v>96</v>
      </c>
      <c r="C81" s="8">
        <f t="shared" si="9"/>
        <v>1648.4231930227293</v>
      </c>
      <c r="D81" s="9" t="s">
        <v>22</v>
      </c>
      <c r="E81" s="10">
        <f t="shared" si="10"/>
        <v>1596.8531260227294</v>
      </c>
      <c r="F81" t="s">
        <v>281</v>
      </c>
      <c r="G81" t="s">
        <v>25</v>
      </c>
      <c r="I81" s="27">
        <f>3.15*1.35528762080074*1000</f>
        <v>4269.1560055223308</v>
      </c>
      <c r="J81" t="s">
        <v>612</v>
      </c>
      <c r="K81" s="49" t="s">
        <v>273</v>
      </c>
      <c r="L81" s="51" t="s">
        <v>284</v>
      </c>
      <c r="M81" s="27">
        <f>15.3846*-221.219860916735</f>
        <v>-3403.3790722596013</v>
      </c>
      <c r="N81" t="s">
        <v>637</v>
      </c>
      <c r="O81" s="8" t="s">
        <v>25</v>
      </c>
      <c r="P81" s="8"/>
      <c r="Q81" s="27">
        <f>10.25*87.85</f>
        <v>900.46249999999998</v>
      </c>
      <c r="R81" t="s">
        <v>639</v>
      </c>
      <c r="S81" s="8" t="s">
        <v>25</v>
      </c>
      <c r="T81" s="27">
        <f>2.564*130.236</f>
        <v>333.92510399999998</v>
      </c>
      <c r="U81" t="s">
        <v>193</v>
      </c>
      <c r="V81" s="8" t="s">
        <v>25</v>
      </c>
      <c r="W81" s="27">
        <f>1.54*(171.5242+2*-221.21986)</f>
        <v>-417.20990080000001</v>
      </c>
      <c r="X81" s="6" t="s">
        <v>26</v>
      </c>
      <c r="Y81" t="s">
        <v>25</v>
      </c>
      <c r="Z81" s="27">
        <f>1.026*(42.29892+-221.21986)</f>
        <v>-183.57288444</v>
      </c>
      <c r="AA81" t="s">
        <v>27</v>
      </c>
      <c r="AB81" t="s">
        <v>25</v>
      </c>
      <c r="AC81" s="27">
        <f>0.77*126.5862</f>
        <v>97.471374000000012</v>
      </c>
      <c r="AD81" s="25"/>
      <c r="AE81" s="25"/>
      <c r="AF81" s="27"/>
      <c r="AH81" s="8" t="s">
        <v>25</v>
      </c>
      <c r="AI81" s="27">
        <f>'Yhtiökohtaiset arvot'!D20/(8/8)*4</f>
        <v>36.683649999999993</v>
      </c>
      <c r="AL81" s="27"/>
      <c r="AM81" t="s">
        <v>728</v>
      </c>
      <c r="AO81" s="27">
        <f>((140+170)*3)/1000*IF(ISNUMBER('Yhtiökohtaiset arvot'!D25),'Yhtiökohtaiset arvot'!D25,'Yhtiökohtaiset arvot'!B25)*IF(ISNUMBER('Yhtiökohtaiset arvot'!D26),'Yhtiökohtaiset arvot'!D26,'Yhtiökohtaiset arvot'!B26)/1000</f>
        <v>14.886417000000002</v>
      </c>
    </row>
    <row r="82" spans="1:41" x14ac:dyDescent="0.2">
      <c r="A82" s="6">
        <v>92</v>
      </c>
      <c r="B82" s="7" t="s">
        <v>97</v>
      </c>
      <c r="C82" s="8">
        <f t="shared" si="9"/>
        <v>4091.7825664640482</v>
      </c>
      <c r="D82" s="9" t="s">
        <v>22</v>
      </c>
      <c r="E82" s="10">
        <f t="shared" si="10"/>
        <v>4036.370843464048</v>
      </c>
      <c r="F82" t="s">
        <v>281</v>
      </c>
      <c r="G82" t="s">
        <v>25</v>
      </c>
      <c r="I82" s="27">
        <f>3.15*2.12973768982973*1000</f>
        <v>6708.6737229636501</v>
      </c>
      <c r="J82" t="s">
        <v>612</v>
      </c>
      <c r="K82" s="49" t="s">
        <v>273</v>
      </c>
      <c r="L82" s="51" t="s">
        <v>284</v>
      </c>
      <c r="M82" s="27">
        <f t="shared" ref="M82:M94" si="22">15.3846*-221.219860916735</f>
        <v>-3403.3790722596013</v>
      </c>
      <c r="N82" t="s">
        <v>637</v>
      </c>
      <c r="O82" s="8" t="s">
        <v>25</v>
      </c>
      <c r="P82" s="8"/>
      <c r="Q82" s="27">
        <f>10.25*87.85</f>
        <v>900.46249999999998</v>
      </c>
      <c r="R82" t="s">
        <v>639</v>
      </c>
      <c r="S82" s="8" t="s">
        <v>25</v>
      </c>
      <c r="T82" s="27">
        <f>2.564*130.236</f>
        <v>333.92510399999998</v>
      </c>
      <c r="U82" t="s">
        <v>193</v>
      </c>
      <c r="V82" s="8" t="s">
        <v>25</v>
      </c>
      <c r="W82" s="27">
        <f t="shared" ref="W82:W83" si="23">1.54*(171.5242+2*-221.21986)</f>
        <v>-417.20990080000001</v>
      </c>
      <c r="X82" s="6" t="s">
        <v>26</v>
      </c>
      <c r="Y82" t="s">
        <v>25</v>
      </c>
      <c r="Z82" s="27">
        <f>1.026*(42.29892+-221.21986)</f>
        <v>-183.57288444</v>
      </c>
      <c r="AA82" t="s">
        <v>27</v>
      </c>
      <c r="AB82" t="s">
        <v>25</v>
      </c>
      <c r="AC82" s="27">
        <f t="shared" ref="AC82:AC83" si="24">0.77*126.5862</f>
        <v>97.471374000000012</v>
      </c>
      <c r="AD82" s="25"/>
      <c r="AE82" s="25"/>
      <c r="AF82" s="27"/>
      <c r="AH82" s="8" t="s">
        <v>25</v>
      </c>
      <c r="AI82" s="27">
        <f>'Yhtiökohtaiset arvot'!D20/(8/8)*4</f>
        <v>36.683649999999993</v>
      </c>
      <c r="AL82" s="27"/>
      <c r="AM82" t="s">
        <v>729</v>
      </c>
      <c r="AO82" s="27">
        <f>((220+170)*3)/1000*IF(ISNUMBER('Yhtiökohtaiset arvot'!D25),'Yhtiökohtaiset arvot'!D25,'Yhtiökohtaiset arvot'!B25)*IF(ISNUMBER('Yhtiökohtaiset arvot'!D26),'Yhtiökohtaiset arvot'!D26,'Yhtiökohtaiset arvot'!B26)/1000</f>
        <v>18.728073000000002</v>
      </c>
    </row>
    <row r="83" spans="1:41" x14ac:dyDescent="0.2">
      <c r="A83" s="6">
        <v>93</v>
      </c>
      <c r="B83" s="7" t="s">
        <v>98</v>
      </c>
      <c r="C83" s="8">
        <f t="shared" si="9"/>
        <v>8062.2415483061941</v>
      </c>
      <c r="D83" s="9" t="s">
        <v>22</v>
      </c>
      <c r="E83" s="10">
        <f t="shared" si="10"/>
        <v>8000.5871343061945</v>
      </c>
      <c r="F83" t="s">
        <v>281</v>
      </c>
      <c r="G83" t="s">
        <v>25</v>
      </c>
      <c r="I83" s="27">
        <f>3.15*3.38821905200184*1000</f>
        <v>10672.890013805796</v>
      </c>
      <c r="J83" t="s">
        <v>612</v>
      </c>
      <c r="K83" s="49" t="s">
        <v>273</v>
      </c>
      <c r="L83" s="51" t="s">
        <v>284</v>
      </c>
      <c r="M83" s="27">
        <f t="shared" si="22"/>
        <v>-3403.3790722596013</v>
      </c>
      <c r="N83" t="s">
        <v>637</v>
      </c>
      <c r="O83" s="8" t="s">
        <v>25</v>
      </c>
      <c r="P83" s="8"/>
      <c r="Q83" s="27">
        <f>10.25*87.85</f>
        <v>900.46249999999998</v>
      </c>
      <c r="R83" t="s">
        <v>639</v>
      </c>
      <c r="S83" s="8" t="s">
        <v>25</v>
      </c>
      <c r="T83" s="27">
        <f>2.564*130.236</f>
        <v>333.92510399999998</v>
      </c>
      <c r="U83" t="s">
        <v>193</v>
      </c>
      <c r="V83" s="8" t="s">
        <v>25</v>
      </c>
      <c r="W83" s="27">
        <f t="shared" si="23"/>
        <v>-417.20990080000001</v>
      </c>
      <c r="X83" s="6" t="s">
        <v>26</v>
      </c>
      <c r="Y83" t="s">
        <v>25</v>
      </c>
      <c r="Z83" s="27">
        <f>1.026*(42.29892+-221.21986)</f>
        <v>-183.57288444</v>
      </c>
      <c r="AA83" t="s">
        <v>27</v>
      </c>
      <c r="AB83" t="s">
        <v>25</v>
      </c>
      <c r="AC83" s="27">
        <f t="shared" si="24"/>
        <v>97.471374000000012</v>
      </c>
      <c r="AD83" s="25"/>
      <c r="AE83" s="25"/>
      <c r="AF83" s="27"/>
      <c r="AH83" s="8" t="s">
        <v>25</v>
      </c>
      <c r="AI83" s="27">
        <f>'Yhtiökohtaiset arvot'!D20/(8/8)*4</f>
        <v>36.683649999999993</v>
      </c>
      <c r="AL83" s="27"/>
      <c r="AM83" t="s">
        <v>730</v>
      </c>
      <c r="AO83" s="27">
        <f>((350+170)*3)/1000*IF(ISNUMBER('Yhtiökohtaiset arvot'!D25),'Yhtiökohtaiset arvot'!D25,'Yhtiökohtaiset arvot'!B25)*IF(ISNUMBER('Yhtiökohtaiset arvot'!D26),'Yhtiökohtaiset arvot'!D26,'Yhtiökohtaiset arvot'!B26)/1000</f>
        <v>24.970764000000003</v>
      </c>
    </row>
    <row r="84" spans="1:41" x14ac:dyDescent="0.2">
      <c r="A84" s="6">
        <v>94</v>
      </c>
      <c r="B84" s="196" t="s">
        <v>810</v>
      </c>
      <c r="C84" s="197">
        <f t="shared" ref="C84:C87" si="25">SUM(I84,M84,Q84,T84,W84,Z84,AC84,AF84,AI84,AL84,AO84)</f>
        <v>0</v>
      </c>
      <c r="D84" s="198" t="s">
        <v>22</v>
      </c>
      <c r="E84" s="199">
        <f t="shared" ref="E84:E87" si="26">SUM(I84,M84,Q84,T84,W84,Z84,AC84,AF84)</f>
        <v>0</v>
      </c>
      <c r="I84" s="27"/>
      <c r="K84" s="49"/>
      <c r="L84" s="51"/>
      <c r="M84" s="27"/>
      <c r="O84" s="8"/>
      <c r="P84" s="8"/>
      <c r="Q84" s="27"/>
      <c r="S84" s="8"/>
      <c r="T84" s="27"/>
      <c r="V84" s="8"/>
      <c r="W84" s="27"/>
      <c r="X84" s="6"/>
      <c r="Z84" s="27"/>
      <c r="AC84" s="27"/>
      <c r="AD84" s="25"/>
      <c r="AE84" s="25"/>
      <c r="AF84" s="27"/>
      <c r="AH84" s="8"/>
      <c r="AI84" s="27"/>
      <c r="AL84" s="27"/>
      <c r="AO84" s="27"/>
    </row>
    <row r="85" spans="1:41" x14ac:dyDescent="0.2">
      <c r="A85" s="6">
        <v>95</v>
      </c>
      <c r="B85" s="196" t="s">
        <v>811</v>
      </c>
      <c r="C85" s="197">
        <f t="shared" si="25"/>
        <v>0</v>
      </c>
      <c r="D85" s="198" t="s">
        <v>22</v>
      </c>
      <c r="E85" s="199">
        <f t="shared" si="26"/>
        <v>0</v>
      </c>
      <c r="I85" s="27"/>
      <c r="K85" s="49"/>
      <c r="L85" s="51"/>
      <c r="M85" s="27"/>
      <c r="O85" s="8"/>
      <c r="P85" s="8"/>
      <c r="Q85" s="27"/>
      <c r="S85" s="8"/>
      <c r="T85" s="27"/>
      <c r="V85" s="8"/>
      <c r="W85" s="27"/>
      <c r="X85" s="6"/>
      <c r="Z85" s="27"/>
      <c r="AC85" s="27"/>
      <c r="AD85" s="25"/>
      <c r="AE85" s="25"/>
      <c r="AF85" s="27"/>
      <c r="AH85" s="8"/>
      <c r="AI85" s="27"/>
      <c r="AL85" s="27"/>
      <c r="AO85" s="27"/>
    </row>
    <row r="86" spans="1:41" x14ac:dyDescent="0.2">
      <c r="A86" s="6">
        <v>96</v>
      </c>
      <c r="B86" s="196" t="s">
        <v>812</v>
      </c>
      <c r="C86" s="197">
        <f t="shared" si="25"/>
        <v>0</v>
      </c>
      <c r="D86" s="198" t="s">
        <v>22</v>
      </c>
      <c r="E86" s="199">
        <f t="shared" si="26"/>
        <v>0</v>
      </c>
      <c r="I86" s="27"/>
      <c r="K86" s="49"/>
      <c r="L86" s="51"/>
      <c r="M86" s="27"/>
      <c r="O86" s="8"/>
      <c r="P86" s="8"/>
      <c r="Q86" s="27"/>
      <c r="S86" s="8"/>
      <c r="T86" s="27"/>
      <c r="V86" s="8"/>
      <c r="W86" s="27"/>
      <c r="X86" s="6"/>
      <c r="Z86" s="27"/>
      <c r="AC86" s="27"/>
      <c r="AD86" s="25"/>
      <c r="AE86" s="25"/>
      <c r="AF86" s="27"/>
      <c r="AH86" s="8"/>
      <c r="AI86" s="27"/>
      <c r="AL86" s="27"/>
      <c r="AO86" s="27"/>
    </row>
    <row r="87" spans="1:41" x14ac:dyDescent="0.2">
      <c r="A87" s="6">
        <v>97</v>
      </c>
      <c r="B87" s="196" t="s">
        <v>813</v>
      </c>
      <c r="C87" s="197">
        <f t="shared" si="25"/>
        <v>0</v>
      </c>
      <c r="D87" s="198" t="s">
        <v>22</v>
      </c>
      <c r="E87" s="199">
        <f t="shared" si="26"/>
        <v>0</v>
      </c>
      <c r="I87" s="27"/>
      <c r="K87" s="49"/>
      <c r="L87" s="51"/>
      <c r="M87" s="27"/>
      <c r="O87" s="8"/>
      <c r="P87" s="8"/>
      <c r="Q87" s="27"/>
      <c r="S87" s="8"/>
      <c r="T87" s="27"/>
      <c r="V87" s="8"/>
      <c r="W87" s="27"/>
      <c r="X87" s="6"/>
      <c r="Z87" s="27"/>
      <c r="AC87" s="27"/>
      <c r="AD87" s="25"/>
      <c r="AE87" s="25"/>
      <c r="AF87" s="27"/>
      <c r="AH87" s="8"/>
      <c r="AI87" s="27"/>
      <c r="AL87" s="27"/>
      <c r="AO87" s="27"/>
    </row>
    <row r="88" spans="1:41" x14ac:dyDescent="0.2">
      <c r="A88" s="6">
        <v>98</v>
      </c>
      <c r="B88" s="7" t="s">
        <v>99</v>
      </c>
      <c r="C88" s="8">
        <f t="shared" si="9"/>
        <v>6753.2711829044601</v>
      </c>
      <c r="D88" s="9" t="s">
        <v>22</v>
      </c>
      <c r="E88" s="10">
        <f t="shared" si="10"/>
        <v>6676.6833724044609</v>
      </c>
      <c r="F88" t="s">
        <v>311</v>
      </c>
      <c r="G88" t="s">
        <v>25</v>
      </c>
      <c r="I88" s="27">
        <f>3.15*2678.70333640129</f>
        <v>8437.9155096640625</v>
      </c>
      <c r="J88" t="s">
        <v>612</v>
      </c>
      <c r="K88" s="49" t="s">
        <v>273</v>
      </c>
      <c r="L88" s="51" t="s">
        <v>284</v>
      </c>
      <c r="M88" s="27">
        <f t="shared" si="22"/>
        <v>-3403.3790722596013</v>
      </c>
      <c r="N88" t="s">
        <v>620</v>
      </c>
      <c r="O88" s="8" t="s">
        <v>25</v>
      </c>
      <c r="P88" s="8"/>
      <c r="Q88" s="27">
        <f>10.25*71.4742</f>
        <v>732.61054999999999</v>
      </c>
      <c r="R88" t="s">
        <v>652</v>
      </c>
      <c r="S88" s="8" t="s">
        <v>25</v>
      </c>
      <c r="T88" s="27">
        <f>5.14*142.3815</f>
        <v>731.84090999999989</v>
      </c>
      <c r="U88" t="s">
        <v>294</v>
      </c>
      <c r="V88" t="s">
        <v>25</v>
      </c>
      <c r="W88" s="27">
        <f>5.1*34.84225</f>
        <v>177.69547499999999</v>
      </c>
      <c r="Z88" s="27"/>
      <c r="AA88" s="25"/>
      <c r="AB88" s="25"/>
      <c r="AC88" s="27"/>
      <c r="AD88" s="25"/>
      <c r="AE88" s="25"/>
      <c r="AF88" s="27"/>
      <c r="AH88" s="8" t="s">
        <v>25</v>
      </c>
      <c r="AI88" s="27">
        <f>'Yhtiökohtaiset arvot'!D20/(8/8)*5</f>
        <v>45.854562499999993</v>
      </c>
      <c r="AL88" s="27"/>
      <c r="AM88" t="s">
        <v>731</v>
      </c>
      <c r="AO88" s="27">
        <f>((350+290)*3)/1000*IF(ISNUMBER('Yhtiökohtaiset arvot'!D25),'Yhtiökohtaiset arvot'!D25,'Yhtiökohtaiset arvot'!B25)*IF(ISNUMBER('Yhtiökohtaiset arvot'!D26),'Yhtiökohtaiset arvot'!D26,'Yhtiökohtaiset arvot'!B26)/1000</f>
        <v>30.733248000000003</v>
      </c>
    </row>
    <row r="89" spans="1:41" x14ac:dyDescent="0.2">
      <c r="A89" s="6">
        <v>99</v>
      </c>
      <c r="B89" s="196" t="s">
        <v>814</v>
      </c>
      <c r="C89" s="197">
        <f t="shared" ref="C89" si="27">SUM(I89,M89,Q89,T89,W89,Z89,AC89,AF89,AI89,AL89,AO89)</f>
        <v>0</v>
      </c>
      <c r="D89" s="198" t="s">
        <v>22</v>
      </c>
      <c r="E89" s="199">
        <f t="shared" ref="E89" si="28">SUM(I89,M89,Q89,T89,W89,Z89,AC89,AF89)</f>
        <v>0</v>
      </c>
      <c r="I89" s="27"/>
      <c r="K89" s="49"/>
      <c r="L89" s="51"/>
      <c r="M89" s="27"/>
      <c r="O89" s="8"/>
      <c r="P89" s="8"/>
      <c r="Q89" s="27"/>
      <c r="S89" s="8"/>
      <c r="T89" s="27"/>
      <c r="W89" s="27"/>
      <c r="Z89" s="27"/>
      <c r="AA89" s="25"/>
      <c r="AB89" s="25"/>
      <c r="AC89" s="27"/>
      <c r="AD89" s="25"/>
      <c r="AE89" s="25"/>
      <c r="AF89" s="27"/>
      <c r="AH89" s="8"/>
      <c r="AI89" s="27"/>
      <c r="AL89" s="27"/>
      <c r="AO89" s="27"/>
    </row>
    <row r="90" spans="1:41" x14ac:dyDescent="0.2">
      <c r="A90" s="6">
        <v>100</v>
      </c>
      <c r="B90" s="7" t="s">
        <v>100</v>
      </c>
      <c r="C90" s="8">
        <f t="shared" si="9"/>
        <v>11228.206503426774</v>
      </c>
      <c r="D90" s="9" t="s">
        <v>22</v>
      </c>
      <c r="E90" s="10">
        <f t="shared" si="10"/>
        <v>11130.009377926774</v>
      </c>
      <c r="F90" t="s">
        <v>311</v>
      </c>
      <c r="G90" t="s">
        <v>25</v>
      </c>
      <c r="I90" s="27">
        <f>3.15*4092.45762386869</f>
        <v>12891.241515186373</v>
      </c>
      <c r="J90" t="s">
        <v>612</v>
      </c>
      <c r="K90" s="49" t="s">
        <v>273</v>
      </c>
      <c r="L90" s="51" t="s">
        <v>284</v>
      </c>
      <c r="M90" s="27">
        <f t="shared" si="22"/>
        <v>-3403.3790722596013</v>
      </c>
      <c r="N90" t="s">
        <v>620</v>
      </c>
      <c r="O90" s="8" t="s">
        <v>25</v>
      </c>
      <c r="P90" s="8"/>
      <c r="Q90" s="27">
        <f t="shared" ref="Q90:Q94" si="29">10.25*71.4742</f>
        <v>732.61054999999999</v>
      </c>
      <c r="R90" t="s">
        <v>652</v>
      </c>
      <c r="S90" s="8" t="s">
        <v>25</v>
      </c>
      <c r="T90" s="27">
        <f t="shared" ref="T90:T94" si="30">5.14*142.3815</f>
        <v>731.84090999999989</v>
      </c>
      <c r="U90" t="s">
        <v>294</v>
      </c>
      <c r="V90" t="s">
        <v>25</v>
      </c>
      <c r="W90" s="27">
        <f t="shared" ref="W90:W94" si="31">5.1*34.84225</f>
        <v>177.69547499999999</v>
      </c>
      <c r="Z90" s="27"/>
      <c r="AA90" s="25"/>
      <c r="AB90" s="25"/>
      <c r="AC90" s="27"/>
      <c r="AD90" s="25"/>
      <c r="AE90" s="25"/>
      <c r="AF90" s="27"/>
      <c r="AH90" s="8" t="s">
        <v>25</v>
      </c>
      <c r="AI90" s="27">
        <f>'Yhtiökohtaiset arvot'!D20/(8/8)*5</f>
        <v>45.854562499999993</v>
      </c>
      <c r="AL90" s="27"/>
      <c r="AM90" t="s">
        <v>732</v>
      </c>
      <c r="AO90" s="27">
        <f>((510+2*290)*3)/1000*IF(ISNUMBER('Yhtiökohtaiset arvot'!D25),'Yhtiökohtaiset arvot'!D25,'Yhtiökohtaiset arvot'!B25)*IF(ISNUMBER('Yhtiökohtaiset arvot'!D26),'Yhtiökohtaiset arvot'!D26,'Yhtiökohtaiset arvot'!B26)/1000</f>
        <v>52.342562999999998</v>
      </c>
    </row>
    <row r="91" spans="1:41" x14ac:dyDescent="0.2">
      <c r="A91" s="6">
        <v>101</v>
      </c>
      <c r="B91" s="7" t="s">
        <v>101</v>
      </c>
      <c r="C91" s="8">
        <f t="shared" si="9"/>
        <v>10713.286503740401</v>
      </c>
      <c r="D91" s="9" t="s">
        <v>22</v>
      </c>
      <c r="E91" s="10">
        <f t="shared" si="10"/>
        <v>10623.172862740401</v>
      </c>
      <c r="F91" t="s">
        <v>312</v>
      </c>
      <c r="G91" t="s">
        <v>25</v>
      </c>
      <c r="I91" s="27">
        <v>12384.405000000001</v>
      </c>
      <c r="J91" t="s">
        <v>612</v>
      </c>
      <c r="K91" s="49" t="s">
        <v>273</v>
      </c>
      <c r="L91" s="51" t="s">
        <v>284</v>
      </c>
      <c r="M91" s="27">
        <f t="shared" si="22"/>
        <v>-3403.3790722596013</v>
      </c>
      <c r="N91" t="s">
        <v>620</v>
      </c>
      <c r="O91" s="8" t="s">
        <v>25</v>
      </c>
      <c r="P91" s="8"/>
      <c r="Q91" s="27">
        <f t="shared" si="29"/>
        <v>732.61054999999999</v>
      </c>
      <c r="R91" t="s">
        <v>652</v>
      </c>
      <c r="S91" s="8" t="s">
        <v>25</v>
      </c>
      <c r="T91" s="27">
        <f t="shared" si="30"/>
        <v>731.84090999999989</v>
      </c>
      <c r="U91" t="s">
        <v>294</v>
      </c>
      <c r="V91" t="s">
        <v>25</v>
      </c>
      <c r="W91" s="27">
        <f t="shared" si="31"/>
        <v>177.69547499999999</v>
      </c>
      <c r="Z91" s="27"/>
      <c r="AA91" s="25"/>
      <c r="AB91" s="25"/>
      <c r="AC91" s="27"/>
      <c r="AD91" s="25"/>
      <c r="AE91" s="25"/>
      <c r="AF91" s="27"/>
      <c r="AH91" s="8" t="s">
        <v>25</v>
      </c>
      <c r="AI91" s="27">
        <f>'Yhtiökohtaiset arvot'!D20/(8/8)*5</f>
        <v>45.854562499999993</v>
      </c>
      <c r="AL91" s="27"/>
      <c r="AM91" t="s">
        <v>734</v>
      </c>
      <c r="AO91" s="27">
        <f>(2552+213)/1000*IF(ISNUMBER('Yhtiökohtaiset arvot'!D25),'Yhtiökohtaiset arvot'!D25,'Yhtiökohtaiset arvot'!B25)*IF(ISNUMBER('Yhtiökohtaiset arvot'!D26),'Yhtiökohtaiset arvot'!D26,'Yhtiökohtaiset arvot'!B26)/1000</f>
        <v>44.259078500000001</v>
      </c>
    </row>
    <row r="92" spans="1:41" x14ac:dyDescent="0.2">
      <c r="A92" s="6">
        <v>102</v>
      </c>
      <c r="B92" s="7" t="s">
        <v>102</v>
      </c>
      <c r="C92" s="8">
        <f t="shared" si="9"/>
        <v>13097.801312040401</v>
      </c>
      <c r="D92" s="9" t="s">
        <v>22</v>
      </c>
      <c r="E92" s="10">
        <f t="shared" si="10"/>
        <v>13001.172862740401</v>
      </c>
      <c r="F92" t="s">
        <v>312</v>
      </c>
      <c r="G92" t="s">
        <v>25</v>
      </c>
      <c r="I92" s="27">
        <v>14762.405000000001</v>
      </c>
      <c r="J92" t="s">
        <v>612</v>
      </c>
      <c r="K92" s="49" t="s">
        <v>273</v>
      </c>
      <c r="L92" s="51" t="s">
        <v>284</v>
      </c>
      <c r="M92" s="27">
        <f t="shared" si="22"/>
        <v>-3403.3790722596013</v>
      </c>
      <c r="N92" t="s">
        <v>620</v>
      </c>
      <c r="O92" s="8" t="s">
        <v>25</v>
      </c>
      <c r="P92" s="8"/>
      <c r="Q92" s="27">
        <f t="shared" si="29"/>
        <v>732.61054999999999</v>
      </c>
      <c r="R92" t="s">
        <v>652</v>
      </c>
      <c r="S92" s="8" t="s">
        <v>25</v>
      </c>
      <c r="T92" s="27">
        <f t="shared" si="30"/>
        <v>731.84090999999989</v>
      </c>
      <c r="U92" t="s">
        <v>294</v>
      </c>
      <c r="V92" t="s">
        <v>25</v>
      </c>
      <c r="W92" s="27">
        <f t="shared" si="31"/>
        <v>177.69547499999999</v>
      </c>
      <c r="Z92" s="27"/>
      <c r="AA92" s="25"/>
      <c r="AB92" s="25"/>
      <c r="AC92" s="27"/>
      <c r="AD92" s="25"/>
      <c r="AE92" s="25"/>
      <c r="AF92" s="27"/>
      <c r="AH92" s="8" t="s">
        <v>25</v>
      </c>
      <c r="AI92" s="27">
        <f>'Yhtiökohtaiset arvot'!D20/(8/8)*5</f>
        <v>45.854562499999993</v>
      </c>
      <c r="AL92" s="27"/>
      <c r="AM92" t="s">
        <v>733</v>
      </c>
      <c r="AO92" s="27">
        <f>(2882+290)/1000*IF(ISNUMBER('Yhtiökohtaiset arvot'!D25),'Yhtiökohtaiset arvot'!D25,'Yhtiökohtaiset arvot'!B25)*IF(ISNUMBER('Yhtiökohtaiset arvot'!D26),'Yhtiökohtaiset arvot'!D26,'Yhtiökohtaiset arvot'!B26)/1000</f>
        <v>50.7738868</v>
      </c>
    </row>
    <row r="93" spans="1:41" x14ac:dyDescent="0.2">
      <c r="A93" s="172">
        <v>103</v>
      </c>
      <c r="B93" s="173" t="s">
        <v>103</v>
      </c>
      <c r="C93" s="8">
        <f t="shared" si="9"/>
        <v>0</v>
      </c>
      <c r="D93" s="9" t="s">
        <v>22</v>
      </c>
      <c r="E93" s="10">
        <v>0</v>
      </c>
      <c r="I93" s="27"/>
      <c r="K93" s="49"/>
      <c r="L93" s="51"/>
      <c r="M93" s="27"/>
      <c r="O93" s="8"/>
      <c r="P93" s="8"/>
      <c r="Q93" s="27"/>
      <c r="S93" s="8"/>
      <c r="T93" s="27"/>
      <c r="W93" s="27"/>
      <c r="Z93" s="27"/>
      <c r="AA93" s="25"/>
      <c r="AB93" s="25"/>
      <c r="AC93" s="27"/>
      <c r="AD93" s="25"/>
      <c r="AE93" s="25"/>
      <c r="AF93" s="27"/>
      <c r="AH93" s="8"/>
      <c r="AI93" s="27"/>
      <c r="AL93" s="27"/>
      <c r="AO93" s="27"/>
    </row>
    <row r="94" spans="1:41" x14ac:dyDescent="0.2">
      <c r="A94" s="6">
        <v>104</v>
      </c>
      <c r="B94" s="7" t="s">
        <v>104</v>
      </c>
      <c r="C94" s="8">
        <f t="shared" si="9"/>
        <v>17396.424046440399</v>
      </c>
      <c r="D94" s="9" t="s">
        <v>22</v>
      </c>
      <c r="E94" s="10">
        <f t="shared" si="10"/>
        <v>17284.172862740397</v>
      </c>
      <c r="F94" t="s">
        <v>312</v>
      </c>
      <c r="G94" t="s">
        <v>25</v>
      </c>
      <c r="I94" s="27">
        <v>19045.404999999999</v>
      </c>
      <c r="J94" t="s">
        <v>612</v>
      </c>
      <c r="K94" s="49" t="s">
        <v>273</v>
      </c>
      <c r="L94" s="51" t="s">
        <v>284</v>
      </c>
      <c r="M94" s="27">
        <f t="shared" si="22"/>
        <v>-3403.3790722596013</v>
      </c>
      <c r="N94" t="s">
        <v>620</v>
      </c>
      <c r="O94" s="8" t="s">
        <v>25</v>
      </c>
      <c r="P94" s="8"/>
      <c r="Q94" s="27">
        <f t="shared" si="29"/>
        <v>732.61054999999999</v>
      </c>
      <c r="R94" t="s">
        <v>652</v>
      </c>
      <c r="S94" s="8" t="s">
        <v>25</v>
      </c>
      <c r="T94" s="27">
        <f t="shared" si="30"/>
        <v>731.84090999999989</v>
      </c>
      <c r="U94" t="s">
        <v>294</v>
      </c>
      <c r="V94" t="s">
        <v>25</v>
      </c>
      <c r="W94" s="27">
        <f t="shared" si="31"/>
        <v>177.69547499999999</v>
      </c>
      <c r="Z94" s="27"/>
      <c r="AA94" s="25"/>
      <c r="AB94" s="25"/>
      <c r="AC94" s="27"/>
      <c r="AD94" s="25"/>
      <c r="AE94" s="25"/>
      <c r="AF94" s="27"/>
      <c r="AH94" s="8" t="s">
        <v>25</v>
      </c>
      <c r="AI94" s="27">
        <f>'Yhtiökohtaiset arvot'!D20/(8/8)*5</f>
        <v>45.854562499999993</v>
      </c>
      <c r="AL94" s="27"/>
      <c r="AM94" t="s">
        <v>735</v>
      </c>
      <c r="AO94" s="27">
        <f>(3568+2*290)/1000*IF(ISNUMBER('Yhtiökohtaiset arvot'!D25),'Yhtiökohtaiset arvot'!D25,'Yhtiökohtaiset arvot'!B25)*IF(ISNUMBER('Yhtiökohtaiset arvot'!D26),'Yhtiökohtaiset arvot'!D26,'Yhtiökohtaiset arvot'!B26)/1000</f>
        <v>66.396621199999998</v>
      </c>
    </row>
    <row r="95" spans="1:41" x14ac:dyDescent="0.2">
      <c r="A95" s="6"/>
      <c r="B95" s="7" t="s">
        <v>765</v>
      </c>
      <c r="C95" s="8">
        <f t="shared" si="9"/>
        <v>28200</v>
      </c>
      <c r="D95" s="9" t="s">
        <v>22</v>
      </c>
      <c r="E95" s="10">
        <f t="shared" si="10"/>
        <v>28200</v>
      </c>
      <c r="F95" s="7" t="s">
        <v>765</v>
      </c>
      <c r="G95" s="49" t="s">
        <v>767</v>
      </c>
      <c r="I95" s="9">
        <v>28200</v>
      </c>
      <c r="K95" s="49"/>
      <c r="L95" s="51"/>
      <c r="M95" s="27"/>
      <c r="O95" s="8"/>
      <c r="P95" s="8"/>
      <c r="Q95" s="27"/>
      <c r="S95" s="8"/>
      <c r="T95" s="27"/>
      <c r="W95" s="27"/>
      <c r="Z95" s="27"/>
      <c r="AA95" s="25"/>
      <c r="AB95" s="25"/>
      <c r="AC95" s="27"/>
      <c r="AD95" s="25"/>
      <c r="AE95" s="25"/>
      <c r="AF95" s="27"/>
      <c r="AH95" s="8"/>
      <c r="AI95" s="27"/>
      <c r="AL95" s="27"/>
      <c r="AO95" s="27"/>
    </row>
    <row r="96" spans="1:41" x14ac:dyDescent="0.2">
      <c r="A96" s="6">
        <v>105</v>
      </c>
      <c r="B96" s="7" t="s">
        <v>105</v>
      </c>
      <c r="C96" s="8">
        <f t="shared" si="9"/>
        <v>65.383886666530032</v>
      </c>
      <c r="D96" s="9" t="s">
        <v>33</v>
      </c>
      <c r="E96" s="10">
        <f t="shared" si="10"/>
        <v>56.212974166530032</v>
      </c>
      <c r="F96" t="s">
        <v>91</v>
      </c>
      <c r="G96" s="49" t="s">
        <v>272</v>
      </c>
      <c r="H96" s="51" t="s">
        <v>284</v>
      </c>
      <c r="I96" s="27">
        <f>1*319.42</f>
        <v>319.42</v>
      </c>
      <c r="J96" t="s">
        <v>614</v>
      </c>
      <c r="K96" s="49" t="s">
        <v>273</v>
      </c>
      <c r="L96" s="51" t="s">
        <v>284</v>
      </c>
      <c r="M96" s="27">
        <f>2*-221.219860916735</f>
        <v>-442.43972183347</v>
      </c>
      <c r="N96" t="s">
        <v>106</v>
      </c>
      <c r="O96" s="50" t="s">
        <v>282</v>
      </c>
      <c r="P96" s="51" t="s">
        <v>284</v>
      </c>
      <c r="Q96" s="27">
        <f>6*17.821</f>
        <v>106.92600000000002</v>
      </c>
      <c r="R96" s="6" t="s">
        <v>562</v>
      </c>
      <c r="S96" s="31" t="s">
        <v>25</v>
      </c>
      <c r="T96" s="26">
        <v>17.195096000000003</v>
      </c>
      <c r="U96" t="s">
        <v>194</v>
      </c>
      <c r="V96" t="s">
        <v>25</v>
      </c>
      <c r="W96" s="26">
        <f>2*27.5558</f>
        <v>55.111600000000003</v>
      </c>
      <c r="Z96" s="27"/>
      <c r="AA96" s="25"/>
      <c r="AB96" s="25"/>
      <c r="AC96" s="27"/>
      <c r="AD96" s="25"/>
      <c r="AE96" s="25"/>
      <c r="AF96" s="27"/>
      <c r="AH96" s="8" t="s">
        <v>25</v>
      </c>
      <c r="AI96" s="27">
        <f>'Yhtiökohtaiset arvot'!D20/(8/8)</f>
        <v>9.1709124999999982</v>
      </c>
      <c r="AL96" s="27"/>
      <c r="AO96" s="27"/>
    </row>
    <row r="97" spans="1:41" x14ac:dyDescent="0.2">
      <c r="A97" s="6">
        <v>106</v>
      </c>
      <c r="B97" s="7" t="s">
        <v>107</v>
      </c>
      <c r="C97" s="8">
        <f t="shared" si="9"/>
        <v>253.77373824979506</v>
      </c>
      <c r="D97" s="9" t="s">
        <v>33</v>
      </c>
      <c r="E97" s="10">
        <f t="shared" si="10"/>
        <v>235.43191324979506</v>
      </c>
      <c r="F97" t="s">
        <v>91</v>
      </c>
      <c r="G97" s="49" t="s">
        <v>272</v>
      </c>
      <c r="H97" s="51" t="s">
        <v>284</v>
      </c>
      <c r="I97" s="27">
        <f>2*319.42</f>
        <v>638.84</v>
      </c>
      <c r="J97" t="s">
        <v>614</v>
      </c>
      <c r="K97" s="49" t="s">
        <v>273</v>
      </c>
      <c r="L97" s="51" t="s">
        <v>284</v>
      </c>
      <c r="M97" s="27">
        <f>3*-221.219860916735</f>
        <v>-663.659582750205</v>
      </c>
      <c r="N97" t="s">
        <v>106</v>
      </c>
      <c r="O97" s="50" t="s">
        <v>282</v>
      </c>
      <c r="P97" s="51" t="s">
        <v>284</v>
      </c>
      <c r="Q97" s="27">
        <f>9*17.821</f>
        <v>160.38900000000001</v>
      </c>
      <c r="R97" s="6" t="s">
        <v>562</v>
      </c>
      <c r="S97" s="31" t="s">
        <v>25</v>
      </c>
      <c r="T97" s="26">
        <v>17.195096000000003</v>
      </c>
      <c r="U97" t="s">
        <v>194</v>
      </c>
      <c r="V97" t="s">
        <v>25</v>
      </c>
      <c r="W97" s="26">
        <f>3*27.5558</f>
        <v>82.667400000000001</v>
      </c>
      <c r="Z97" s="27"/>
      <c r="AA97" s="25"/>
      <c r="AB97" s="25"/>
      <c r="AC97" s="27"/>
      <c r="AD97" s="25"/>
      <c r="AE97" s="25"/>
      <c r="AF97" s="27"/>
      <c r="AH97" s="8" t="s">
        <v>25</v>
      </c>
      <c r="AI97" s="27">
        <f>'Yhtiökohtaiset arvot'!D20/(8/8)*2</f>
        <v>18.341824999999996</v>
      </c>
      <c r="AL97" s="27"/>
      <c r="AO97" s="27"/>
    </row>
    <row r="98" spans="1:41" x14ac:dyDescent="0.2">
      <c r="A98" s="6">
        <v>107</v>
      </c>
      <c r="B98" s="7" t="s">
        <v>108</v>
      </c>
      <c r="C98" s="8">
        <f t="shared" ref="C98:C167" si="32">SUM(I98,M98,Q98,T98,W98,Z98,AC98,AF98,AI98,AL98,AO98)</f>
        <v>379.52967733305996</v>
      </c>
      <c r="D98" s="9" t="s">
        <v>33</v>
      </c>
      <c r="E98" s="10">
        <f t="shared" ref="E98:E167" si="33">SUM(I98,M98,Q98,T98,W98,Z98,AC98,AF98)</f>
        <v>361.18785233305999</v>
      </c>
      <c r="F98" t="s">
        <v>91</v>
      </c>
      <c r="G98" s="49" t="s">
        <v>272</v>
      </c>
      <c r="H98" s="51" t="s">
        <v>284</v>
      </c>
      <c r="I98" s="27">
        <f>3*319.42</f>
        <v>958.26</v>
      </c>
      <c r="J98" t="s">
        <v>614</v>
      </c>
      <c r="K98" s="49" t="s">
        <v>273</v>
      </c>
      <c r="L98" s="51" t="s">
        <v>284</v>
      </c>
      <c r="M98" s="27">
        <f>4*-221.219860916735</f>
        <v>-884.87944366694001</v>
      </c>
      <c r="N98" t="s">
        <v>106</v>
      </c>
      <c r="O98" s="50" t="s">
        <v>282</v>
      </c>
      <c r="P98" s="51" t="s">
        <v>284</v>
      </c>
      <c r="Q98" s="27">
        <f>9*17.821</f>
        <v>160.38900000000001</v>
      </c>
      <c r="R98" s="6" t="s">
        <v>562</v>
      </c>
      <c r="S98" s="31" t="s">
        <v>25</v>
      </c>
      <c r="T98" s="26">
        <v>17.195096000000003</v>
      </c>
      <c r="U98" t="s">
        <v>194</v>
      </c>
      <c r="V98" t="s">
        <v>25</v>
      </c>
      <c r="W98" s="26">
        <f>4*27.5558</f>
        <v>110.22320000000001</v>
      </c>
      <c r="Z98" s="27"/>
      <c r="AA98" s="25"/>
      <c r="AB98" s="25"/>
      <c r="AC98" s="27"/>
      <c r="AD98" s="25"/>
      <c r="AE98" s="25"/>
      <c r="AF98" s="27"/>
      <c r="AH98" s="8" t="s">
        <v>25</v>
      </c>
      <c r="AI98" s="27">
        <f>'Yhtiökohtaiset arvot'!D20/(8/8)*2</f>
        <v>18.341824999999996</v>
      </c>
      <c r="AL98" s="27"/>
      <c r="AO98" s="27"/>
    </row>
    <row r="99" spans="1:41" x14ac:dyDescent="0.2">
      <c r="A99" s="6">
        <v>108</v>
      </c>
      <c r="B99" s="7" t="s">
        <v>109</v>
      </c>
      <c r="C99" s="8">
        <f t="shared" si="32"/>
        <v>761.58358983306016</v>
      </c>
      <c r="D99" s="9" t="s">
        <v>33</v>
      </c>
      <c r="E99" s="10">
        <f t="shared" si="33"/>
        <v>734.0708523330602</v>
      </c>
      <c r="F99" t="s">
        <v>91</v>
      </c>
      <c r="G99" s="49" t="s">
        <v>272</v>
      </c>
      <c r="H99" s="51" t="s">
        <v>284</v>
      </c>
      <c r="I99" s="27">
        <f>4*319.42</f>
        <v>1277.68</v>
      </c>
      <c r="J99" t="s">
        <v>614</v>
      </c>
      <c r="K99" s="49" t="s">
        <v>273</v>
      </c>
      <c r="L99" s="51" t="s">
        <v>284</v>
      </c>
      <c r="M99" s="27">
        <f>4*-221.219860916735</f>
        <v>-884.87944366694001</v>
      </c>
      <c r="N99" t="s">
        <v>106</v>
      </c>
      <c r="O99" s="50" t="s">
        <v>282</v>
      </c>
      <c r="P99" s="51" t="s">
        <v>284</v>
      </c>
      <c r="Q99" s="27">
        <f>12*17.821</f>
        <v>213.85200000000003</v>
      </c>
      <c r="R99" s="6" t="s">
        <v>562</v>
      </c>
      <c r="S99" s="31" t="s">
        <v>25</v>
      </c>
      <c r="T99" s="26">
        <v>17.195096000000003</v>
      </c>
      <c r="U99" t="s">
        <v>194</v>
      </c>
      <c r="V99" t="s">
        <v>25</v>
      </c>
      <c r="W99" s="26">
        <f>4*27.5558</f>
        <v>110.22320000000001</v>
      </c>
      <c r="Z99" s="27"/>
      <c r="AA99" s="25"/>
      <c r="AB99" s="25"/>
      <c r="AC99" s="27"/>
      <c r="AD99" s="25"/>
      <c r="AE99" s="25"/>
      <c r="AF99" s="27"/>
      <c r="AH99" s="8" t="s">
        <v>25</v>
      </c>
      <c r="AI99" s="27">
        <f>'Yhtiökohtaiset arvot'!D20/(8/8)*3</f>
        <v>27.512737499999993</v>
      </c>
      <c r="AL99" s="27"/>
      <c r="AO99" s="27"/>
    </row>
    <row r="100" spans="1:41" x14ac:dyDescent="0.2">
      <c r="A100" s="6">
        <v>109</v>
      </c>
      <c r="B100" s="196" t="s">
        <v>815</v>
      </c>
      <c r="C100" s="197">
        <f t="shared" ref="C100" si="34">SUM(I100,M100,Q100,T100,W100,Z100,AC100,AF100,AI100,AL100,AO100)</f>
        <v>0</v>
      </c>
      <c r="D100" s="198" t="s">
        <v>33</v>
      </c>
      <c r="E100" s="199">
        <f t="shared" ref="E100" si="35">SUM(I100,M100,Q100,T100,W100,Z100,AC100,AF100)</f>
        <v>0</v>
      </c>
      <c r="G100" s="49"/>
      <c r="H100" s="51"/>
      <c r="I100" s="27"/>
      <c r="K100" s="49"/>
      <c r="L100" s="51"/>
      <c r="M100" s="27"/>
      <c r="O100" s="50"/>
      <c r="P100" s="51"/>
      <c r="Q100" s="27"/>
      <c r="R100" s="6"/>
      <c r="S100" s="31"/>
      <c r="T100" s="26"/>
      <c r="W100" s="26"/>
      <c r="Z100" s="27"/>
      <c r="AA100" s="25"/>
      <c r="AB100" s="25"/>
      <c r="AC100" s="27"/>
      <c r="AD100" s="25"/>
      <c r="AE100" s="25"/>
      <c r="AF100" s="27"/>
      <c r="AH100" s="8"/>
      <c r="AI100" s="27"/>
      <c r="AL100" s="27"/>
      <c r="AO100" s="27"/>
    </row>
    <row r="101" spans="1:41" x14ac:dyDescent="0.2">
      <c r="A101" s="6">
        <v>110</v>
      </c>
      <c r="B101" s="7" t="s">
        <v>110</v>
      </c>
      <c r="C101" s="8">
        <f t="shared" si="32"/>
        <v>286.60374758326503</v>
      </c>
      <c r="D101" s="9" t="s">
        <v>33</v>
      </c>
      <c r="E101" s="10">
        <f t="shared" si="33"/>
        <v>277.43283508326505</v>
      </c>
      <c r="F101" t="s">
        <v>91</v>
      </c>
      <c r="G101" s="49" t="s">
        <v>272</v>
      </c>
      <c r="H101" s="51" t="s">
        <v>284</v>
      </c>
      <c r="I101" s="27">
        <f>1*319.42</f>
        <v>319.42</v>
      </c>
      <c r="J101" t="s">
        <v>614</v>
      </c>
      <c r="K101" s="49" t="s">
        <v>273</v>
      </c>
      <c r="L101" s="51" t="s">
        <v>284</v>
      </c>
      <c r="M101" s="27">
        <f>1*-221.219860916735</f>
        <v>-221.219860916735</v>
      </c>
      <c r="N101" t="s">
        <v>106</v>
      </c>
      <c r="O101" s="50" t="s">
        <v>282</v>
      </c>
      <c r="P101" s="51" t="s">
        <v>284</v>
      </c>
      <c r="Q101" s="27">
        <f>6*17.821</f>
        <v>106.92600000000002</v>
      </c>
      <c r="R101" s="6" t="s">
        <v>562</v>
      </c>
      <c r="S101" s="31" t="s">
        <v>25</v>
      </c>
      <c r="T101" s="26">
        <v>17.195096000000003</v>
      </c>
      <c r="U101" t="s">
        <v>194</v>
      </c>
      <c r="V101" t="s">
        <v>25</v>
      </c>
      <c r="W101" s="26">
        <f>2*27.5558</f>
        <v>55.111600000000003</v>
      </c>
      <c r="Z101" s="27"/>
      <c r="AA101" s="25"/>
      <c r="AB101" s="25"/>
      <c r="AC101" s="27"/>
      <c r="AD101" s="25"/>
      <c r="AE101" s="25"/>
      <c r="AF101" s="27"/>
      <c r="AH101" s="8" t="s">
        <v>25</v>
      </c>
      <c r="AI101" s="27">
        <f>'Yhtiökohtaiset arvot'!D20/(8/8)</f>
        <v>9.1709124999999982</v>
      </c>
      <c r="AL101" s="27"/>
      <c r="AO101" s="27"/>
    </row>
    <row r="102" spans="1:41" x14ac:dyDescent="0.2">
      <c r="A102" s="6">
        <v>111</v>
      </c>
      <c r="B102" s="7" t="s">
        <v>111</v>
      </c>
      <c r="C102" s="8">
        <f t="shared" si="32"/>
        <v>65.383886666530032</v>
      </c>
      <c r="D102" s="9" t="s">
        <v>33</v>
      </c>
      <c r="E102" s="10">
        <f t="shared" si="33"/>
        <v>56.212974166530032</v>
      </c>
      <c r="F102" t="s">
        <v>91</v>
      </c>
      <c r="G102" s="49" t="s">
        <v>272</v>
      </c>
      <c r="H102" s="51" t="s">
        <v>284</v>
      </c>
      <c r="I102" s="27">
        <f>1*319.42</f>
        <v>319.42</v>
      </c>
      <c r="J102" t="s">
        <v>614</v>
      </c>
      <c r="K102" s="49" t="s">
        <v>273</v>
      </c>
      <c r="L102" s="51" t="s">
        <v>284</v>
      </c>
      <c r="M102" s="27">
        <f>2*-221.219860916735</f>
        <v>-442.43972183347</v>
      </c>
      <c r="N102" t="s">
        <v>106</v>
      </c>
      <c r="O102" s="50" t="s">
        <v>282</v>
      </c>
      <c r="P102" s="51" t="s">
        <v>284</v>
      </c>
      <c r="Q102" s="27">
        <f>6*17.821</f>
        <v>106.92600000000002</v>
      </c>
      <c r="R102" s="6" t="s">
        <v>562</v>
      </c>
      <c r="S102" s="31" t="s">
        <v>25</v>
      </c>
      <c r="T102" s="26">
        <v>17.195096000000003</v>
      </c>
      <c r="U102" t="s">
        <v>194</v>
      </c>
      <c r="V102" t="s">
        <v>25</v>
      </c>
      <c r="W102" s="26">
        <f>2*27.5558</f>
        <v>55.111600000000003</v>
      </c>
      <c r="Z102" s="27"/>
      <c r="AA102" s="25"/>
      <c r="AB102" s="25"/>
      <c r="AC102" s="27"/>
      <c r="AD102" s="25"/>
      <c r="AE102" s="25"/>
      <c r="AF102" s="27"/>
      <c r="AH102" s="8" t="s">
        <v>25</v>
      </c>
      <c r="AI102" s="27">
        <f>'Yhtiökohtaiset arvot'!D20/(8/8)</f>
        <v>9.1709124999999982</v>
      </c>
      <c r="AL102" s="27"/>
      <c r="AO102" s="27"/>
    </row>
    <row r="103" spans="1:41" x14ac:dyDescent="0.2">
      <c r="A103" s="6">
        <v>112</v>
      </c>
      <c r="B103" s="196" t="s">
        <v>816</v>
      </c>
      <c r="C103" s="197">
        <f t="shared" ref="C103:C118" si="36">SUM(I103,M103,Q103,T103,W103,Z103,AC103,AF103,AI103,AL103,AO103)</f>
        <v>0</v>
      </c>
      <c r="D103" s="198" t="s">
        <v>33</v>
      </c>
      <c r="E103" s="199">
        <f t="shared" ref="E103:E118" si="37">SUM(I103,M103,Q103,T103,W103,Z103,AC103,AF103)</f>
        <v>0</v>
      </c>
      <c r="G103" s="49"/>
      <c r="H103" s="51"/>
      <c r="I103" s="27"/>
      <c r="K103" s="49"/>
      <c r="L103" s="51"/>
      <c r="M103" s="27"/>
      <c r="O103" s="50"/>
      <c r="P103" s="51"/>
      <c r="Q103" s="27"/>
      <c r="R103" s="6"/>
      <c r="S103" s="31"/>
      <c r="T103" s="26"/>
      <c r="W103" s="26"/>
      <c r="Z103" s="27"/>
      <c r="AA103" s="25"/>
      <c r="AB103" s="25"/>
      <c r="AC103" s="27"/>
      <c r="AD103" s="25"/>
      <c r="AE103" s="25"/>
      <c r="AF103" s="27"/>
      <c r="AH103" s="8"/>
      <c r="AI103" s="27"/>
      <c r="AL103" s="27"/>
      <c r="AO103" s="27"/>
    </row>
    <row r="104" spans="1:41" x14ac:dyDescent="0.2">
      <c r="A104" s="6">
        <v>113</v>
      </c>
      <c r="B104" s="196" t="s">
        <v>817</v>
      </c>
      <c r="C104" s="197">
        <f t="shared" si="36"/>
        <v>0</v>
      </c>
      <c r="D104" s="198" t="s">
        <v>33</v>
      </c>
      <c r="E104" s="199">
        <f t="shared" si="37"/>
        <v>0</v>
      </c>
      <c r="G104" s="49"/>
      <c r="H104" s="51"/>
      <c r="I104" s="27"/>
      <c r="K104" s="49"/>
      <c r="L104" s="51"/>
      <c r="M104" s="27"/>
      <c r="O104" s="50"/>
      <c r="P104" s="51"/>
      <c r="Q104" s="27"/>
      <c r="R104" s="6"/>
      <c r="S104" s="31"/>
      <c r="T104" s="26"/>
      <c r="W104" s="26"/>
      <c r="Z104" s="27"/>
      <c r="AA104" s="25"/>
      <c r="AB104" s="25"/>
      <c r="AC104" s="27"/>
      <c r="AD104" s="25"/>
      <c r="AE104" s="25"/>
      <c r="AF104" s="27"/>
      <c r="AH104" s="8"/>
      <c r="AI104" s="27"/>
      <c r="AL104" s="27"/>
      <c r="AO104" s="27"/>
    </row>
    <row r="105" spans="1:41" x14ac:dyDescent="0.2">
      <c r="A105" s="6">
        <v>114</v>
      </c>
      <c r="B105" s="196" t="s">
        <v>818</v>
      </c>
      <c r="C105" s="197">
        <f t="shared" si="36"/>
        <v>0</v>
      </c>
      <c r="D105" s="198" t="s">
        <v>33</v>
      </c>
      <c r="E105" s="199">
        <f t="shared" si="37"/>
        <v>0</v>
      </c>
      <c r="G105" s="49"/>
      <c r="H105" s="51"/>
      <c r="I105" s="27"/>
      <c r="K105" s="49"/>
      <c r="L105" s="51"/>
      <c r="M105" s="27"/>
      <c r="O105" s="50"/>
      <c r="P105" s="51"/>
      <c r="Q105" s="27"/>
      <c r="R105" s="6"/>
      <c r="S105" s="31"/>
      <c r="T105" s="26"/>
      <c r="W105" s="26"/>
      <c r="Z105" s="27"/>
      <c r="AA105" s="25"/>
      <c r="AB105" s="25"/>
      <c r="AC105" s="27"/>
      <c r="AD105" s="25"/>
      <c r="AE105" s="25"/>
      <c r="AF105" s="27"/>
      <c r="AH105" s="8"/>
      <c r="AI105" s="27"/>
      <c r="AL105" s="27"/>
      <c r="AO105" s="27"/>
    </row>
    <row r="106" spans="1:41" x14ac:dyDescent="0.2">
      <c r="A106" s="6">
        <v>115</v>
      </c>
      <c r="B106" s="196" t="s">
        <v>819</v>
      </c>
      <c r="C106" s="197">
        <f t="shared" si="36"/>
        <v>0</v>
      </c>
      <c r="D106" s="198" t="s">
        <v>33</v>
      </c>
      <c r="E106" s="199">
        <f t="shared" si="37"/>
        <v>0</v>
      </c>
      <c r="G106" s="49"/>
      <c r="H106" s="51"/>
      <c r="I106" s="27"/>
      <c r="K106" s="49"/>
      <c r="L106" s="51"/>
      <c r="M106" s="27"/>
      <c r="O106" s="50"/>
      <c r="P106" s="51"/>
      <c r="Q106" s="27"/>
      <c r="R106" s="6"/>
      <c r="S106" s="31"/>
      <c r="T106" s="26"/>
      <c r="W106" s="26"/>
      <c r="Z106" s="27"/>
      <c r="AA106" s="25"/>
      <c r="AB106" s="25"/>
      <c r="AC106" s="27"/>
      <c r="AD106" s="25"/>
      <c r="AE106" s="25"/>
      <c r="AF106" s="27"/>
      <c r="AH106" s="8"/>
      <c r="AI106" s="27"/>
      <c r="AL106" s="27"/>
      <c r="AO106" s="27"/>
    </row>
    <row r="107" spans="1:41" x14ac:dyDescent="0.2">
      <c r="A107" s="6">
        <v>116</v>
      </c>
      <c r="B107" s="196" t="s">
        <v>820</v>
      </c>
      <c r="C107" s="197">
        <f t="shared" si="36"/>
        <v>0</v>
      </c>
      <c r="D107" s="198" t="s">
        <v>33</v>
      </c>
      <c r="E107" s="199">
        <f t="shared" si="37"/>
        <v>0</v>
      </c>
      <c r="G107" s="49"/>
      <c r="H107" s="51"/>
      <c r="I107" s="27"/>
      <c r="K107" s="49"/>
      <c r="L107" s="51"/>
      <c r="M107" s="27"/>
      <c r="O107" s="50"/>
      <c r="P107" s="51"/>
      <c r="Q107" s="27"/>
      <c r="R107" s="6"/>
      <c r="S107" s="31"/>
      <c r="T107" s="26"/>
      <c r="W107" s="26"/>
      <c r="Z107" s="27"/>
      <c r="AA107" s="25"/>
      <c r="AB107" s="25"/>
      <c r="AC107" s="27"/>
      <c r="AD107" s="25"/>
      <c r="AE107" s="25"/>
      <c r="AF107" s="27"/>
      <c r="AH107" s="8"/>
      <c r="AI107" s="27"/>
      <c r="AL107" s="27"/>
      <c r="AO107" s="27"/>
    </row>
    <row r="108" spans="1:41" x14ac:dyDescent="0.2">
      <c r="A108" s="6">
        <v>117</v>
      </c>
      <c r="B108" s="196" t="s">
        <v>821</v>
      </c>
      <c r="C108" s="197">
        <f t="shared" si="36"/>
        <v>0</v>
      </c>
      <c r="D108" s="198" t="s">
        <v>33</v>
      </c>
      <c r="E108" s="199">
        <f t="shared" si="37"/>
        <v>0</v>
      </c>
      <c r="G108" s="49"/>
      <c r="H108" s="51"/>
      <c r="I108" s="27"/>
      <c r="K108" s="49"/>
      <c r="L108" s="51"/>
      <c r="M108" s="27"/>
      <c r="O108" s="50"/>
      <c r="P108" s="51"/>
      <c r="Q108" s="27"/>
      <c r="R108" s="6"/>
      <c r="S108" s="31"/>
      <c r="T108" s="26"/>
      <c r="W108" s="26"/>
      <c r="Z108" s="27"/>
      <c r="AA108" s="25"/>
      <c r="AB108" s="25"/>
      <c r="AC108" s="27"/>
      <c r="AD108" s="25"/>
      <c r="AE108" s="25"/>
      <c r="AF108" s="27"/>
      <c r="AH108" s="8"/>
      <c r="AI108" s="27"/>
      <c r="AL108" s="27"/>
      <c r="AO108" s="27"/>
    </row>
    <row r="109" spans="1:41" x14ac:dyDescent="0.2">
      <c r="A109" s="6">
        <v>118</v>
      </c>
      <c r="B109" s="196" t="s">
        <v>822</v>
      </c>
      <c r="C109" s="197">
        <f t="shared" si="36"/>
        <v>0</v>
      </c>
      <c r="D109" s="198" t="s">
        <v>33</v>
      </c>
      <c r="E109" s="199">
        <f t="shared" si="37"/>
        <v>0</v>
      </c>
      <c r="G109" s="49"/>
      <c r="H109" s="51"/>
      <c r="I109" s="27"/>
      <c r="K109" s="49"/>
      <c r="L109" s="51"/>
      <c r="M109" s="27"/>
      <c r="O109" s="50"/>
      <c r="P109" s="51"/>
      <c r="Q109" s="27"/>
      <c r="R109" s="6"/>
      <c r="S109" s="31"/>
      <c r="T109" s="26"/>
      <c r="W109" s="26"/>
      <c r="Z109" s="27"/>
      <c r="AA109" s="25"/>
      <c r="AB109" s="25"/>
      <c r="AC109" s="27"/>
      <c r="AD109" s="25"/>
      <c r="AE109" s="25"/>
      <c r="AF109" s="27"/>
      <c r="AH109" s="8"/>
      <c r="AI109" s="27"/>
      <c r="AL109" s="27"/>
      <c r="AO109" s="27"/>
    </row>
    <row r="110" spans="1:41" x14ac:dyDescent="0.2">
      <c r="A110" s="6">
        <v>119</v>
      </c>
      <c r="B110" s="196" t="s">
        <v>823</v>
      </c>
      <c r="C110" s="197">
        <f t="shared" si="36"/>
        <v>0</v>
      </c>
      <c r="D110" s="198" t="s">
        <v>33</v>
      </c>
      <c r="E110" s="199">
        <f t="shared" si="37"/>
        <v>0</v>
      </c>
      <c r="G110" s="49"/>
      <c r="H110" s="51"/>
      <c r="I110" s="27"/>
      <c r="K110" s="49"/>
      <c r="L110" s="51"/>
      <c r="M110" s="27"/>
      <c r="O110" s="50"/>
      <c r="P110" s="51"/>
      <c r="Q110" s="27"/>
      <c r="R110" s="6"/>
      <c r="S110" s="31"/>
      <c r="T110" s="26"/>
      <c r="W110" s="26"/>
      <c r="Z110" s="27"/>
      <c r="AA110" s="25"/>
      <c r="AB110" s="25"/>
      <c r="AC110" s="27"/>
      <c r="AD110" s="25"/>
      <c r="AE110" s="25"/>
      <c r="AF110" s="27"/>
      <c r="AH110" s="8"/>
      <c r="AI110" s="27"/>
      <c r="AL110" s="27"/>
      <c r="AO110" s="27"/>
    </row>
    <row r="111" spans="1:41" x14ac:dyDescent="0.2">
      <c r="A111" s="6">
        <v>120</v>
      </c>
      <c r="B111" s="196" t="s">
        <v>824</v>
      </c>
      <c r="C111" s="197">
        <f t="shared" si="36"/>
        <v>0</v>
      </c>
      <c r="D111" s="198" t="s">
        <v>33</v>
      </c>
      <c r="E111" s="199">
        <f t="shared" si="37"/>
        <v>0</v>
      </c>
      <c r="G111" s="49"/>
      <c r="H111" s="51"/>
      <c r="I111" s="27"/>
      <c r="K111" s="49"/>
      <c r="L111" s="51"/>
      <c r="M111" s="27"/>
      <c r="O111" s="50"/>
      <c r="P111" s="51"/>
      <c r="Q111" s="27"/>
      <c r="R111" s="6"/>
      <c r="S111" s="31"/>
      <c r="T111" s="26"/>
      <c r="W111" s="26"/>
      <c r="Z111" s="27"/>
      <c r="AA111" s="25"/>
      <c r="AB111" s="25"/>
      <c r="AC111" s="27"/>
      <c r="AD111" s="25"/>
      <c r="AE111" s="25"/>
      <c r="AF111" s="27"/>
      <c r="AH111" s="8"/>
      <c r="AI111" s="27"/>
      <c r="AL111" s="27"/>
      <c r="AO111" s="27"/>
    </row>
    <row r="112" spans="1:41" x14ac:dyDescent="0.2">
      <c r="A112" s="6">
        <v>121</v>
      </c>
      <c r="B112" s="196" t="s">
        <v>825</v>
      </c>
      <c r="C112" s="197">
        <f t="shared" si="36"/>
        <v>0</v>
      </c>
      <c r="D112" s="198" t="s">
        <v>33</v>
      </c>
      <c r="E112" s="199">
        <f t="shared" si="37"/>
        <v>0</v>
      </c>
      <c r="G112" s="49"/>
      <c r="H112" s="51"/>
      <c r="I112" s="27"/>
      <c r="K112" s="49"/>
      <c r="L112" s="51"/>
      <c r="M112" s="27"/>
      <c r="O112" s="50"/>
      <c r="P112" s="51"/>
      <c r="Q112" s="27"/>
      <c r="R112" s="6"/>
      <c r="S112" s="31"/>
      <c r="T112" s="26"/>
      <c r="W112" s="26"/>
      <c r="Z112" s="27"/>
      <c r="AA112" s="25"/>
      <c r="AB112" s="25"/>
      <c r="AC112" s="27"/>
      <c r="AD112" s="25"/>
      <c r="AE112" s="25"/>
      <c r="AF112" s="27"/>
      <c r="AH112" s="8"/>
      <c r="AI112" s="27"/>
      <c r="AL112" s="27"/>
      <c r="AO112" s="27"/>
    </row>
    <row r="113" spans="1:41" x14ac:dyDescent="0.2">
      <c r="A113" s="6">
        <v>122</v>
      </c>
      <c r="B113" s="196" t="s">
        <v>826</v>
      </c>
      <c r="C113" s="197">
        <f t="shared" si="36"/>
        <v>0</v>
      </c>
      <c r="D113" s="198" t="s">
        <v>33</v>
      </c>
      <c r="E113" s="199">
        <f t="shared" si="37"/>
        <v>0</v>
      </c>
      <c r="G113" s="49"/>
      <c r="H113" s="51"/>
      <c r="I113" s="27"/>
      <c r="K113" s="49"/>
      <c r="L113" s="51"/>
      <c r="M113" s="27"/>
      <c r="O113" s="50"/>
      <c r="P113" s="51"/>
      <c r="Q113" s="27"/>
      <c r="R113" s="6"/>
      <c r="S113" s="31"/>
      <c r="T113" s="26"/>
      <c r="W113" s="26"/>
      <c r="Z113" s="27"/>
      <c r="AA113" s="25"/>
      <c r="AB113" s="25"/>
      <c r="AC113" s="27"/>
      <c r="AD113" s="25"/>
      <c r="AE113" s="25"/>
      <c r="AF113" s="27"/>
      <c r="AH113" s="8"/>
      <c r="AI113" s="27"/>
      <c r="AL113" s="27"/>
      <c r="AO113" s="27"/>
    </row>
    <row r="114" spans="1:41" x14ac:dyDescent="0.2">
      <c r="A114" s="6">
        <v>123</v>
      </c>
      <c r="B114" s="196" t="s">
        <v>827</v>
      </c>
      <c r="C114" s="197">
        <f t="shared" si="36"/>
        <v>0</v>
      </c>
      <c r="D114" s="198" t="s">
        <v>33</v>
      </c>
      <c r="E114" s="199">
        <f t="shared" si="37"/>
        <v>0</v>
      </c>
      <c r="G114" s="49"/>
      <c r="H114" s="51"/>
      <c r="I114" s="27"/>
      <c r="K114" s="49"/>
      <c r="L114" s="51"/>
      <c r="M114" s="27"/>
      <c r="O114" s="50"/>
      <c r="P114" s="51"/>
      <c r="Q114" s="27"/>
      <c r="R114" s="6"/>
      <c r="S114" s="31"/>
      <c r="T114" s="26"/>
      <c r="W114" s="26"/>
      <c r="Z114" s="27"/>
      <c r="AA114" s="25"/>
      <c r="AB114" s="25"/>
      <c r="AC114" s="27"/>
      <c r="AD114" s="25"/>
      <c r="AE114" s="25"/>
      <c r="AF114" s="27"/>
      <c r="AH114" s="8"/>
      <c r="AI114" s="27"/>
      <c r="AL114" s="27"/>
      <c r="AO114" s="27"/>
    </row>
    <row r="115" spans="1:41" x14ac:dyDescent="0.2">
      <c r="A115" s="6">
        <v>124</v>
      </c>
      <c r="B115" s="196" t="s">
        <v>828</v>
      </c>
      <c r="C115" s="197">
        <f t="shared" si="36"/>
        <v>0</v>
      </c>
      <c r="D115" s="198" t="s">
        <v>33</v>
      </c>
      <c r="E115" s="199">
        <f t="shared" si="37"/>
        <v>0</v>
      </c>
      <c r="G115" s="49"/>
      <c r="H115" s="51"/>
      <c r="I115" s="27"/>
      <c r="K115" s="49"/>
      <c r="L115" s="51"/>
      <c r="M115" s="27"/>
      <c r="O115" s="50"/>
      <c r="P115" s="51"/>
      <c r="Q115" s="27"/>
      <c r="R115" s="6"/>
      <c r="S115" s="31"/>
      <c r="T115" s="26"/>
      <c r="W115" s="26"/>
      <c r="Z115" s="27"/>
      <c r="AA115" s="25"/>
      <c r="AB115" s="25"/>
      <c r="AC115" s="27"/>
      <c r="AD115" s="25"/>
      <c r="AE115" s="25"/>
      <c r="AF115" s="27"/>
      <c r="AH115" s="8"/>
      <c r="AI115" s="27"/>
      <c r="AL115" s="27"/>
      <c r="AO115" s="27"/>
    </row>
    <row r="116" spans="1:41" x14ac:dyDescent="0.2">
      <c r="A116" s="6">
        <v>125</v>
      </c>
      <c r="B116" s="196" t="s">
        <v>829</v>
      </c>
      <c r="C116" s="197">
        <f t="shared" si="36"/>
        <v>0</v>
      </c>
      <c r="D116" s="198" t="s">
        <v>33</v>
      </c>
      <c r="E116" s="199">
        <f t="shared" si="37"/>
        <v>0</v>
      </c>
      <c r="G116" s="49"/>
      <c r="H116" s="51"/>
      <c r="I116" s="27"/>
      <c r="K116" s="49"/>
      <c r="L116" s="51"/>
      <c r="M116" s="27"/>
      <c r="O116" s="50"/>
      <c r="P116" s="51"/>
      <c r="Q116" s="27"/>
      <c r="R116" s="6"/>
      <c r="S116" s="31"/>
      <c r="T116" s="26"/>
      <c r="W116" s="26"/>
      <c r="Z116" s="27"/>
      <c r="AA116" s="25"/>
      <c r="AB116" s="25"/>
      <c r="AC116" s="27"/>
      <c r="AD116" s="25"/>
      <c r="AE116" s="25"/>
      <c r="AF116" s="27"/>
      <c r="AH116" s="8"/>
      <c r="AI116" s="27"/>
      <c r="AL116" s="27"/>
      <c r="AO116" s="27"/>
    </row>
    <row r="117" spans="1:41" x14ac:dyDescent="0.2">
      <c r="A117" s="6">
        <v>126</v>
      </c>
      <c r="B117" s="196" t="s">
        <v>830</v>
      </c>
      <c r="C117" s="197">
        <f t="shared" si="36"/>
        <v>0</v>
      </c>
      <c r="D117" s="198" t="s">
        <v>33</v>
      </c>
      <c r="E117" s="199">
        <f t="shared" si="37"/>
        <v>0</v>
      </c>
      <c r="G117" s="49"/>
      <c r="H117" s="51"/>
      <c r="I117" s="27"/>
      <c r="K117" s="49"/>
      <c r="L117" s="51"/>
      <c r="M117" s="27"/>
      <c r="O117" s="50"/>
      <c r="P117" s="51"/>
      <c r="Q117" s="27"/>
      <c r="R117" s="6"/>
      <c r="S117" s="31"/>
      <c r="T117" s="26"/>
      <c r="W117" s="26"/>
      <c r="Z117" s="27"/>
      <c r="AA117" s="25"/>
      <c r="AB117" s="25"/>
      <c r="AC117" s="27"/>
      <c r="AD117" s="25"/>
      <c r="AE117" s="25"/>
      <c r="AF117" s="27"/>
      <c r="AH117" s="8"/>
      <c r="AI117" s="27"/>
      <c r="AL117" s="27"/>
      <c r="AO117" s="27"/>
    </row>
    <row r="118" spans="1:41" x14ac:dyDescent="0.2">
      <c r="A118" s="6">
        <v>127</v>
      </c>
      <c r="B118" s="196" t="s">
        <v>831</v>
      </c>
      <c r="C118" s="197">
        <f t="shared" si="36"/>
        <v>0</v>
      </c>
      <c r="D118" s="198" t="s">
        <v>33</v>
      </c>
      <c r="E118" s="199">
        <f t="shared" si="37"/>
        <v>0</v>
      </c>
      <c r="G118" s="49"/>
      <c r="H118" s="51"/>
      <c r="I118" s="27"/>
      <c r="K118" s="49"/>
      <c r="L118" s="51"/>
      <c r="M118" s="27"/>
      <c r="O118" s="50"/>
      <c r="P118" s="51"/>
      <c r="Q118" s="27"/>
      <c r="R118" s="6"/>
      <c r="S118" s="31"/>
      <c r="T118" s="26"/>
      <c r="W118" s="26"/>
      <c r="Z118" s="27"/>
      <c r="AA118" s="25"/>
      <c r="AB118" s="25"/>
      <c r="AC118" s="27"/>
      <c r="AD118" s="25"/>
      <c r="AE118" s="25"/>
      <c r="AF118" s="27"/>
      <c r="AH118" s="8"/>
      <c r="AI118" s="27"/>
      <c r="AL118" s="27"/>
      <c r="AO118" s="27"/>
    </row>
    <row r="119" spans="1:41" x14ac:dyDescent="0.2">
      <c r="A119" s="6">
        <v>128</v>
      </c>
      <c r="B119" s="7" t="s">
        <v>112</v>
      </c>
      <c r="C119" s="8">
        <f t="shared" si="32"/>
        <v>12429.406366533334</v>
      </c>
      <c r="D119" s="9" t="s">
        <v>22</v>
      </c>
      <c r="E119" s="10">
        <f t="shared" si="33"/>
        <v>12371.333333333334</v>
      </c>
      <c r="F119" t="s">
        <v>50</v>
      </c>
      <c r="G119" s="49" t="s">
        <v>274</v>
      </c>
      <c r="H119" s="51" t="s">
        <v>284</v>
      </c>
      <c r="I119" s="27">
        <v>12371.333333333334</v>
      </c>
      <c r="M119" s="27"/>
      <c r="Q119" s="27"/>
      <c r="T119" s="27"/>
      <c r="W119" s="27"/>
      <c r="Z119" s="27"/>
      <c r="AA119" s="25"/>
      <c r="AB119" s="25"/>
      <c r="AC119" s="27"/>
      <c r="AD119" s="25"/>
      <c r="AE119" s="25"/>
      <c r="AF119" s="27"/>
      <c r="AI119" s="27"/>
      <c r="AL119" s="27"/>
      <c r="AM119" t="s">
        <v>752</v>
      </c>
      <c r="AO119" s="27">
        <f>(2226+2*701)/1000*IF(ISNUMBER('Yhtiökohtaiset arvot'!D25),'Yhtiökohtaiset arvot'!D25,'Yhtiökohtaiset arvot'!B25)*IF(ISNUMBER('Yhtiökohtaiset arvot'!D26),'Yhtiökohtaiset arvot'!D26,'Yhtiökohtaiset arvot'!B26)/1000</f>
        <v>58.073033200000005</v>
      </c>
    </row>
    <row r="120" spans="1:41" x14ac:dyDescent="0.2">
      <c r="A120" s="6">
        <v>129</v>
      </c>
      <c r="B120" s="7" t="s">
        <v>113</v>
      </c>
      <c r="C120" s="8">
        <f t="shared" si="32"/>
        <v>14813.360933333333</v>
      </c>
      <c r="D120" s="9" t="s">
        <v>22</v>
      </c>
      <c r="E120" s="10">
        <f t="shared" si="33"/>
        <v>14749.333333333334</v>
      </c>
      <c r="F120" t="s">
        <v>50</v>
      </c>
      <c r="G120" s="49" t="s">
        <v>274</v>
      </c>
      <c r="H120" s="51" t="s">
        <v>284</v>
      </c>
      <c r="I120" s="27">
        <v>14749.333333333334</v>
      </c>
      <c r="M120" s="27"/>
      <c r="Q120" s="27"/>
      <c r="T120" s="27"/>
      <c r="W120" s="27"/>
      <c r="Z120" s="27"/>
      <c r="AA120" s="25"/>
      <c r="AB120" s="25"/>
      <c r="AC120" s="27"/>
      <c r="AD120" s="25"/>
      <c r="AE120" s="25"/>
      <c r="AF120" s="27"/>
      <c r="AI120" s="27"/>
      <c r="AL120" s="27"/>
      <c r="AM120" t="s">
        <v>756</v>
      </c>
      <c r="AO120" s="27">
        <f>(2598+2*701)/1000*IF(ISNUMBER('Yhtiökohtaiset arvot'!D25),'Yhtiökohtaiset arvot'!D25,'Yhtiökohtaiset arvot'!B25)*IF(ISNUMBER('Yhtiökohtaiset arvot'!D26),'Yhtiökohtaiset arvot'!D26,'Yhtiökohtaiset arvot'!B26)/1000</f>
        <v>64.027600000000007</v>
      </c>
    </row>
    <row r="121" spans="1:41" x14ac:dyDescent="0.2">
      <c r="A121" s="6">
        <v>130</v>
      </c>
      <c r="B121" s="196" t="s">
        <v>832</v>
      </c>
      <c r="C121" s="197">
        <f t="shared" ref="C121" si="38">SUM(I121,M121,Q121,T121,W121,Z121,AC121,AF121,AI121,AL121,AO121)</f>
        <v>0</v>
      </c>
      <c r="D121" s="198" t="s">
        <v>22</v>
      </c>
      <c r="E121" s="199">
        <f t="shared" ref="E121" si="39">SUM(I121,M121,Q121,T121,W121,Z121,AC121,AF121)</f>
        <v>0</v>
      </c>
      <c r="G121" s="49"/>
      <c r="H121" s="51"/>
      <c r="I121" s="27"/>
      <c r="M121" s="27"/>
      <c r="Q121" s="27"/>
      <c r="T121" s="27"/>
      <c r="W121" s="27"/>
      <c r="Z121" s="27"/>
      <c r="AA121" s="25"/>
      <c r="AB121" s="25"/>
      <c r="AC121" s="27"/>
      <c r="AD121" s="25"/>
      <c r="AE121" s="25"/>
      <c r="AF121" s="27"/>
      <c r="AI121" s="27"/>
      <c r="AL121" s="27"/>
      <c r="AO121" s="27"/>
    </row>
    <row r="122" spans="1:41" x14ac:dyDescent="0.2">
      <c r="A122" s="6">
        <v>131</v>
      </c>
      <c r="B122" s="7" t="s">
        <v>114</v>
      </c>
      <c r="C122" s="8">
        <f t="shared" si="32"/>
        <v>19115.825323733334</v>
      </c>
      <c r="D122" s="9" t="s">
        <v>22</v>
      </c>
      <c r="E122" s="10">
        <f t="shared" si="33"/>
        <v>19032.333333333332</v>
      </c>
      <c r="F122" t="s">
        <v>50</v>
      </c>
      <c r="G122" s="49" t="s">
        <v>274</v>
      </c>
      <c r="H122" s="51" t="s">
        <v>284</v>
      </c>
      <c r="I122" s="27">
        <v>19032.333333333332</v>
      </c>
      <c r="M122" s="27"/>
      <c r="Q122" s="27"/>
      <c r="T122" s="27"/>
      <c r="W122" s="27"/>
      <c r="Z122" s="27"/>
      <c r="AA122" s="25"/>
      <c r="AB122" s="25"/>
      <c r="AC122" s="27"/>
      <c r="AD122" s="25"/>
      <c r="AE122" s="25"/>
      <c r="AF122" s="27"/>
      <c r="AI122" s="27"/>
      <c r="AL122" s="27"/>
      <c r="AM122" t="s">
        <v>753</v>
      </c>
      <c r="AO122" s="27">
        <f>(3268+2*974)/1000*IF(ISNUMBER('Yhtiökohtaiset arvot'!D25),'Yhtiökohtaiset arvot'!D25,'Yhtiökohtaiset arvot'!B25)*IF(ISNUMBER('Yhtiökohtaiset arvot'!D26),'Yhtiökohtaiset arvot'!D26,'Yhtiökohtaiset arvot'!B26)/1000</f>
        <v>83.491990400000006</v>
      </c>
    </row>
    <row r="123" spans="1:41" x14ac:dyDescent="0.2">
      <c r="A123" s="6">
        <v>132</v>
      </c>
      <c r="B123" s="7" t="s">
        <v>115</v>
      </c>
      <c r="C123" s="8">
        <f t="shared" si="32"/>
        <v>22102.7515508</v>
      </c>
      <c r="D123" s="9" t="s">
        <v>22</v>
      </c>
      <c r="E123" s="10">
        <f t="shared" si="33"/>
        <v>22011</v>
      </c>
      <c r="F123" t="s">
        <v>50</v>
      </c>
      <c r="G123" s="49" t="s">
        <v>274</v>
      </c>
      <c r="H123" s="51" t="s">
        <v>284</v>
      </c>
      <c r="I123" s="27">
        <v>22011</v>
      </c>
      <c r="M123" s="27"/>
      <c r="Q123" s="27"/>
      <c r="T123" s="27"/>
      <c r="W123" s="27"/>
      <c r="Z123" s="27"/>
      <c r="AA123" s="25"/>
      <c r="AB123" s="25"/>
      <c r="AC123" s="27"/>
      <c r="AD123" s="25"/>
      <c r="AE123" s="25"/>
      <c r="AF123" s="27"/>
      <c r="AI123" s="27"/>
      <c r="AL123" s="27"/>
      <c r="AM123" t="s">
        <v>754</v>
      </c>
      <c r="AO123" s="27">
        <f>(3784+2*974)/1000*IF(ISNUMBER('Yhtiökohtaiset arvot'!D25),'Yhtiökohtaiset arvot'!D25,'Yhtiökohtaiset arvot'!B25)*IF(ISNUMBER('Yhtiökohtaiset arvot'!D26),'Yhtiökohtaiset arvot'!D26,'Yhtiökohtaiset arvot'!B26)/1000</f>
        <v>91.751550800000018</v>
      </c>
    </row>
    <row r="124" spans="1:41" x14ac:dyDescent="0.2">
      <c r="A124" s="6">
        <v>133</v>
      </c>
      <c r="B124" s="7" t="s">
        <v>116</v>
      </c>
      <c r="C124" s="8">
        <f t="shared" si="32"/>
        <v>27083.220925900001</v>
      </c>
      <c r="D124" s="9" t="s">
        <v>22</v>
      </c>
      <c r="E124" s="10">
        <f t="shared" si="33"/>
        <v>26979</v>
      </c>
      <c r="F124" t="s">
        <v>50</v>
      </c>
      <c r="G124" s="49" t="s">
        <v>274</v>
      </c>
      <c r="H124" s="51" t="s">
        <v>284</v>
      </c>
      <c r="I124" s="27">
        <v>26979</v>
      </c>
      <c r="M124" s="27"/>
      <c r="Q124" s="27"/>
      <c r="T124" s="27"/>
      <c r="W124" s="27"/>
      <c r="Z124" s="27"/>
      <c r="AA124" s="25"/>
      <c r="AB124" s="25"/>
      <c r="AC124" s="27"/>
      <c r="AD124" s="25"/>
      <c r="AE124" s="25"/>
      <c r="AF124" s="27"/>
      <c r="AI124" s="27"/>
      <c r="AL124" s="27"/>
      <c r="AM124" t="s">
        <v>755</v>
      </c>
      <c r="AO124" s="27">
        <f>(4563+2*974)/1000*IF(ISNUMBER('Yhtiökohtaiset arvot'!D25),'Yhtiökohtaiset arvot'!D25,'Yhtiökohtaiset arvot'!B25)*IF(ISNUMBER('Yhtiökohtaiset arvot'!D26),'Yhtiökohtaiset arvot'!D26,'Yhtiökohtaiset arvot'!B26)/1000</f>
        <v>104.22092590000001</v>
      </c>
    </row>
    <row r="125" spans="1:41" x14ac:dyDescent="0.2">
      <c r="A125" s="6">
        <v>134</v>
      </c>
      <c r="B125" s="196" t="s">
        <v>833</v>
      </c>
      <c r="C125" s="197">
        <f t="shared" ref="C125:C129" si="40">SUM(I125,M125,Q125,T125,W125,Z125,AC125,AF125,AI125,AL125,AO125)</f>
        <v>0</v>
      </c>
      <c r="D125" s="198" t="s">
        <v>22</v>
      </c>
      <c r="E125" s="199">
        <f t="shared" ref="E125:E129" si="41">SUM(I125,M125,Q125,T125,W125,Z125,AC125,AF125)</f>
        <v>0</v>
      </c>
      <c r="G125" s="49"/>
      <c r="H125" s="51"/>
      <c r="I125" s="27"/>
      <c r="M125" s="27"/>
      <c r="Q125" s="27"/>
      <c r="T125" s="27"/>
      <c r="W125" s="27"/>
      <c r="Z125" s="27"/>
      <c r="AA125" s="25"/>
      <c r="AB125" s="25"/>
      <c r="AC125" s="27"/>
      <c r="AD125" s="25"/>
      <c r="AE125" s="25"/>
      <c r="AF125" s="27"/>
      <c r="AI125" s="27"/>
      <c r="AL125" s="27"/>
      <c r="AO125" s="27"/>
    </row>
    <row r="126" spans="1:41" x14ac:dyDescent="0.2">
      <c r="A126" s="6">
        <v>135</v>
      </c>
      <c r="B126" s="196" t="s">
        <v>834</v>
      </c>
      <c r="C126" s="197">
        <f t="shared" si="40"/>
        <v>0</v>
      </c>
      <c r="D126" s="198" t="s">
        <v>22</v>
      </c>
      <c r="E126" s="199">
        <f t="shared" si="41"/>
        <v>0</v>
      </c>
      <c r="G126" s="49"/>
      <c r="H126" s="51"/>
      <c r="I126" s="27"/>
      <c r="M126" s="27"/>
      <c r="Q126" s="27"/>
      <c r="T126" s="27"/>
      <c r="W126" s="27"/>
      <c r="Z126" s="27"/>
      <c r="AA126" s="25"/>
      <c r="AB126" s="25"/>
      <c r="AC126" s="27"/>
      <c r="AD126" s="25"/>
      <c r="AE126" s="25"/>
      <c r="AF126" s="27"/>
      <c r="AI126" s="27"/>
      <c r="AL126" s="27"/>
      <c r="AO126" s="27"/>
    </row>
    <row r="127" spans="1:41" x14ac:dyDescent="0.2">
      <c r="A127" s="6">
        <v>136</v>
      </c>
      <c r="B127" s="196" t="s">
        <v>835</v>
      </c>
      <c r="C127" s="197">
        <f t="shared" si="40"/>
        <v>0</v>
      </c>
      <c r="D127" s="198" t="s">
        <v>22</v>
      </c>
      <c r="E127" s="199">
        <f t="shared" si="41"/>
        <v>0</v>
      </c>
      <c r="G127" s="49"/>
      <c r="H127" s="51"/>
      <c r="I127" s="27"/>
      <c r="M127" s="27"/>
      <c r="Q127" s="27"/>
      <c r="T127" s="27"/>
      <c r="W127" s="27"/>
      <c r="Z127" s="27"/>
      <c r="AA127" s="25"/>
      <c r="AB127" s="25"/>
      <c r="AC127" s="27"/>
      <c r="AD127" s="25"/>
      <c r="AE127" s="25"/>
      <c r="AF127" s="27"/>
      <c r="AI127" s="27"/>
      <c r="AL127" s="27"/>
      <c r="AO127" s="27"/>
    </row>
    <row r="128" spans="1:41" x14ac:dyDescent="0.2">
      <c r="A128" s="6">
        <v>137</v>
      </c>
      <c r="B128" s="196" t="s">
        <v>836</v>
      </c>
      <c r="C128" s="197">
        <f t="shared" si="40"/>
        <v>0</v>
      </c>
      <c r="D128" s="198" t="s">
        <v>22</v>
      </c>
      <c r="E128" s="199">
        <f t="shared" si="41"/>
        <v>0</v>
      </c>
      <c r="G128" s="49"/>
      <c r="H128" s="51"/>
      <c r="I128" s="27"/>
      <c r="M128" s="27"/>
      <c r="Q128" s="27"/>
      <c r="T128" s="27"/>
      <c r="W128" s="27"/>
      <c r="Z128" s="27"/>
      <c r="AA128" s="25"/>
      <c r="AB128" s="25"/>
      <c r="AC128" s="27"/>
      <c r="AD128" s="25"/>
      <c r="AE128" s="25"/>
      <c r="AF128" s="27"/>
      <c r="AI128" s="27"/>
      <c r="AL128" s="27"/>
      <c r="AO128" s="27"/>
    </row>
    <row r="129" spans="1:41" x14ac:dyDescent="0.2">
      <c r="A129" s="6">
        <v>138</v>
      </c>
      <c r="B129" s="196" t="s">
        <v>837</v>
      </c>
      <c r="C129" s="197">
        <f t="shared" si="40"/>
        <v>0</v>
      </c>
      <c r="D129" s="198" t="s">
        <v>22</v>
      </c>
      <c r="E129" s="199">
        <f t="shared" si="41"/>
        <v>0</v>
      </c>
      <c r="G129" s="49"/>
      <c r="H129" s="51"/>
      <c r="I129" s="27"/>
      <c r="M129" s="27"/>
      <c r="Q129" s="27"/>
      <c r="T129" s="27"/>
      <c r="W129" s="27"/>
      <c r="Z129" s="27"/>
      <c r="AA129" s="25"/>
      <c r="AB129" s="25"/>
      <c r="AC129" s="27"/>
      <c r="AD129" s="25"/>
      <c r="AE129" s="25"/>
      <c r="AF129" s="27"/>
      <c r="AI129" s="27"/>
      <c r="AL129" s="27"/>
      <c r="AO129" s="27"/>
    </row>
    <row r="130" spans="1:41" x14ac:dyDescent="0.2">
      <c r="A130" s="6">
        <v>139</v>
      </c>
      <c r="B130" s="7" t="s">
        <v>117</v>
      </c>
      <c r="C130" s="8">
        <f t="shared" si="32"/>
        <v>13776.2153703</v>
      </c>
      <c r="D130" s="9" t="s">
        <v>22</v>
      </c>
      <c r="E130" s="10">
        <f t="shared" si="33"/>
        <v>13722</v>
      </c>
      <c r="F130" t="s">
        <v>50</v>
      </c>
      <c r="G130" s="49" t="s">
        <v>275</v>
      </c>
      <c r="H130" s="51" t="s">
        <v>284</v>
      </c>
      <c r="I130" s="27">
        <v>13722</v>
      </c>
      <c r="M130" s="27"/>
      <c r="Q130" s="27"/>
      <c r="T130" s="27"/>
      <c r="W130" s="27"/>
      <c r="Z130" s="27"/>
      <c r="AA130" s="25"/>
      <c r="AB130" s="25"/>
      <c r="AC130" s="27"/>
      <c r="AD130" s="25"/>
      <c r="AE130" s="25"/>
      <c r="AF130" s="27"/>
      <c r="AI130" s="27"/>
      <c r="AL130" s="27"/>
      <c r="AM130" t="s">
        <v>757</v>
      </c>
      <c r="AO130" s="27">
        <f>(2531+2*428)/1000*IF(ISNUMBER('Yhtiökohtaiset arvot'!D25),'Yhtiökohtaiset arvot'!D25,'Yhtiökohtaiset arvot'!B25)*IF(ISNUMBER('Yhtiökohtaiset arvot'!D26),'Yhtiökohtaiset arvot'!D26,'Yhtiökohtaiset arvot'!B26)/1000</f>
        <v>54.215370300000004</v>
      </c>
    </row>
    <row r="131" spans="1:41" x14ac:dyDescent="0.2">
      <c r="A131" s="6">
        <v>140</v>
      </c>
      <c r="B131" s="7" t="s">
        <v>118</v>
      </c>
      <c r="C131" s="8">
        <f t="shared" si="32"/>
        <v>16229.2019509</v>
      </c>
      <c r="D131" s="9" t="s">
        <v>22</v>
      </c>
      <c r="E131" s="10">
        <f t="shared" si="33"/>
        <v>16169</v>
      </c>
      <c r="F131" t="s">
        <v>50</v>
      </c>
      <c r="G131" s="49" t="s">
        <v>275</v>
      </c>
      <c r="H131" s="51" t="s">
        <v>284</v>
      </c>
      <c r="I131" s="27">
        <v>16169</v>
      </c>
      <c r="M131" s="27"/>
      <c r="Q131" s="27"/>
      <c r="T131" s="27"/>
      <c r="W131" s="27"/>
      <c r="Z131" s="27"/>
      <c r="AA131" s="25"/>
      <c r="AB131" s="25"/>
      <c r="AC131" s="27"/>
      <c r="AD131" s="25"/>
      <c r="AE131" s="25"/>
      <c r="AF131" s="27"/>
      <c r="AI131" s="27"/>
      <c r="AL131" s="27"/>
      <c r="AM131" t="s">
        <v>758</v>
      </c>
      <c r="AO131" s="27">
        <f>(2905+2*428)/1000*IF(ISNUMBER('Yhtiökohtaiset arvot'!D25),'Yhtiökohtaiset arvot'!D25,'Yhtiökohtaiset arvot'!B25)*IF(ISNUMBER('Yhtiökohtaiset arvot'!D26),'Yhtiökohtaiset arvot'!D26,'Yhtiökohtaiset arvot'!B26)/1000</f>
        <v>60.201950900000014</v>
      </c>
    </row>
    <row r="132" spans="1:41" x14ac:dyDescent="0.2">
      <c r="A132" s="6">
        <v>141</v>
      </c>
      <c r="B132" s="7" t="s">
        <v>119</v>
      </c>
      <c r="C132" s="8">
        <f t="shared" si="32"/>
        <v>18160.923986400001</v>
      </c>
      <c r="D132" s="9" t="s">
        <v>22</v>
      </c>
      <c r="E132" s="10">
        <f t="shared" si="33"/>
        <v>18096</v>
      </c>
      <c r="F132" t="s">
        <v>50</v>
      </c>
      <c r="G132" s="49" t="s">
        <v>275</v>
      </c>
      <c r="H132" s="51" t="s">
        <v>284</v>
      </c>
      <c r="I132" s="27">
        <v>18096</v>
      </c>
      <c r="M132" s="27"/>
      <c r="Q132" s="27"/>
      <c r="T132" s="27"/>
      <c r="W132" s="27"/>
      <c r="Z132" s="27"/>
      <c r="AA132" s="25"/>
      <c r="AB132" s="25"/>
      <c r="AC132" s="27"/>
      <c r="AD132" s="25"/>
      <c r="AE132" s="25"/>
      <c r="AF132" s="27"/>
      <c r="AI132" s="27"/>
      <c r="AL132" s="27"/>
      <c r="AM132" t="s">
        <v>759</v>
      </c>
      <c r="AO132" s="27">
        <f>(3200+2*428)/1000*IF(ISNUMBER('Yhtiökohtaiset arvot'!D25),'Yhtiökohtaiset arvot'!D25,'Yhtiökohtaiset arvot'!B25)*IF(ISNUMBER('Yhtiökohtaiset arvot'!D26),'Yhtiökohtaiset arvot'!D26,'Yhtiökohtaiset arvot'!B26)/1000</f>
        <v>64.923986400000004</v>
      </c>
    </row>
    <row r="133" spans="1:41" x14ac:dyDescent="0.2">
      <c r="A133" s="6">
        <v>142</v>
      </c>
      <c r="B133" s="7" t="s">
        <v>120</v>
      </c>
      <c r="C133" s="8">
        <f t="shared" si="32"/>
        <v>20597.5863068</v>
      </c>
      <c r="D133" s="9" t="s">
        <v>22</v>
      </c>
      <c r="E133" s="10">
        <f t="shared" si="33"/>
        <v>20518</v>
      </c>
      <c r="F133" t="s">
        <v>50</v>
      </c>
      <c r="G133" s="49" t="s">
        <v>275</v>
      </c>
      <c r="H133" s="51" t="s">
        <v>284</v>
      </c>
      <c r="I133" s="27">
        <v>20518</v>
      </c>
      <c r="M133" s="27"/>
      <c r="Q133" s="27"/>
      <c r="T133" s="27"/>
      <c r="W133" s="27"/>
      <c r="Z133" s="27"/>
      <c r="AA133" s="25"/>
      <c r="AB133" s="25"/>
      <c r="AC133" s="27"/>
      <c r="AD133" s="25"/>
      <c r="AE133" s="25"/>
      <c r="AF133" s="27"/>
      <c r="AI133" s="27"/>
      <c r="AL133" s="27"/>
      <c r="AM133" t="s">
        <v>760</v>
      </c>
      <c r="AO133" s="27">
        <f>(3570+2*701)/1000*IF(ISNUMBER('Yhtiökohtaiset arvot'!D25),'Yhtiökohtaiset arvot'!D25,'Yhtiökohtaiset arvot'!B25)*IF(ISNUMBER('Yhtiökohtaiset arvot'!D26),'Yhtiökohtaiset arvot'!D26,'Yhtiökohtaiset arvot'!B26)/1000</f>
        <v>79.586306800000017</v>
      </c>
    </row>
    <row r="134" spans="1:41" x14ac:dyDescent="0.2">
      <c r="A134" s="6">
        <v>143</v>
      </c>
      <c r="B134" s="7" t="s">
        <v>121</v>
      </c>
      <c r="C134" s="8">
        <f t="shared" si="32"/>
        <v>24010.9259017</v>
      </c>
      <c r="D134" s="9" t="s">
        <v>22</v>
      </c>
      <c r="E134" s="10">
        <f t="shared" si="33"/>
        <v>23923</v>
      </c>
      <c r="F134" t="s">
        <v>50</v>
      </c>
      <c r="G134" s="49" t="s">
        <v>275</v>
      </c>
      <c r="H134" s="51" t="s">
        <v>284</v>
      </c>
      <c r="I134" s="27">
        <v>23923</v>
      </c>
      <c r="M134" s="27"/>
      <c r="Q134" s="27"/>
      <c r="T134" s="27"/>
      <c r="W134" s="27"/>
      <c r="Z134" s="27"/>
      <c r="AA134" s="25"/>
      <c r="AB134" s="25"/>
      <c r="AC134" s="27"/>
      <c r="AD134" s="25"/>
      <c r="AE134" s="25"/>
      <c r="AF134" s="27"/>
      <c r="AI134" s="27"/>
      <c r="AL134" s="27"/>
      <c r="AM134" t="s">
        <v>761</v>
      </c>
      <c r="AO134" s="27">
        <f>(4091+2*701)/1000*IF(ISNUMBER('Yhtiökohtaiset arvot'!D25),'Yhtiökohtaiset arvot'!D25,'Yhtiökohtaiset arvot'!B25)*IF(ISNUMBER('Yhtiökohtaiset arvot'!D26),'Yhtiökohtaiset arvot'!D26,'Yhtiökohtaiset arvot'!B26)/1000</f>
        <v>87.925901700000011</v>
      </c>
    </row>
    <row r="135" spans="1:41" x14ac:dyDescent="0.2">
      <c r="A135" s="6">
        <v>144</v>
      </c>
      <c r="B135" s="7" t="s">
        <v>122</v>
      </c>
      <c r="C135" s="8">
        <f t="shared" si="32"/>
        <v>30647.103030400001</v>
      </c>
      <c r="D135" s="9" t="s">
        <v>22</v>
      </c>
      <c r="E135" s="10">
        <f t="shared" si="33"/>
        <v>30538</v>
      </c>
      <c r="F135" t="s">
        <v>50</v>
      </c>
      <c r="G135" s="49" t="s">
        <v>275</v>
      </c>
      <c r="H135" s="51" t="s">
        <v>284</v>
      </c>
      <c r="I135" s="27">
        <v>30538</v>
      </c>
      <c r="M135" s="27"/>
      <c r="Q135" s="27"/>
      <c r="T135" s="27"/>
      <c r="W135" s="27"/>
      <c r="Z135" s="27"/>
      <c r="AA135" s="25"/>
      <c r="AB135" s="25"/>
      <c r="AC135" s="27"/>
      <c r="AD135" s="25"/>
      <c r="AE135" s="25"/>
      <c r="AF135" s="27"/>
      <c r="AI135" s="27"/>
      <c r="AL135" s="27"/>
      <c r="AM135" t="s">
        <v>762</v>
      </c>
      <c r="AO135" s="27">
        <f>(4868+2*974)/1000*IF(ISNUMBER('Yhtiökohtaiset arvot'!D25),'Yhtiökohtaiset arvot'!D25,'Yhtiökohtaiset arvot'!B25)*IF(ISNUMBER('Yhtiökohtaiset arvot'!D26),'Yhtiökohtaiset arvot'!D26,'Yhtiökohtaiset arvot'!B26)/1000</f>
        <v>109.10303040000002</v>
      </c>
    </row>
    <row r="136" spans="1:41" x14ac:dyDescent="0.2">
      <c r="A136" s="6">
        <v>145</v>
      </c>
      <c r="B136" s="7" t="s">
        <v>123</v>
      </c>
      <c r="C136" s="8">
        <f t="shared" si="32"/>
        <v>33935.8681019</v>
      </c>
      <c r="D136" s="9" t="s">
        <v>22</v>
      </c>
      <c r="E136" s="10">
        <f t="shared" si="33"/>
        <v>33815</v>
      </c>
      <c r="F136" t="s">
        <v>50</v>
      </c>
      <c r="G136" s="49" t="s">
        <v>275</v>
      </c>
      <c r="H136" s="51" t="s">
        <v>284</v>
      </c>
      <c r="I136" s="27">
        <v>33815</v>
      </c>
      <c r="M136" s="27"/>
      <c r="Q136" s="27"/>
      <c r="T136" s="27"/>
      <c r="W136" s="27"/>
      <c r="Z136" s="27"/>
      <c r="AA136" s="25"/>
      <c r="AB136" s="25"/>
      <c r="AC136" s="27"/>
      <c r="AD136" s="25"/>
      <c r="AE136" s="25"/>
      <c r="AF136" s="27"/>
      <c r="AI136" s="27"/>
      <c r="AL136" s="27"/>
      <c r="AM136" t="s">
        <v>763</v>
      </c>
      <c r="AO136" s="27">
        <f>(5603+2*974)/1000*IF(ISNUMBER('Yhtiökohtaiset arvot'!D25),'Yhtiökohtaiset arvot'!D25,'Yhtiökohtaiset arvot'!B25)*IF(ISNUMBER('Yhtiökohtaiset arvot'!D26),'Yhtiökohtaiset arvot'!D26,'Yhtiökohtaiset arvot'!B26)/1000</f>
        <v>120.86810190000003</v>
      </c>
    </row>
    <row r="137" spans="1:41" x14ac:dyDescent="0.2">
      <c r="A137" s="6">
        <v>146</v>
      </c>
      <c r="B137" s="196" t="s">
        <v>838</v>
      </c>
      <c r="C137" s="197">
        <f t="shared" ref="C137:C140" si="42">SUM(I137,M137,Q137,T137,W137,Z137,AC137,AF137,AI137,AL137,AO137)</f>
        <v>0</v>
      </c>
      <c r="D137" s="198" t="s">
        <v>22</v>
      </c>
      <c r="E137" s="199">
        <f t="shared" ref="E137:E140" si="43">SUM(I137,M137,Q137,T137,W137,Z137,AC137,AF137)</f>
        <v>0</v>
      </c>
      <c r="G137" s="49"/>
      <c r="H137" s="51"/>
      <c r="I137" s="27"/>
      <c r="M137" s="27"/>
      <c r="Q137" s="27"/>
      <c r="T137" s="27"/>
      <c r="W137" s="27"/>
      <c r="Z137" s="27"/>
      <c r="AA137" s="25"/>
      <c r="AB137" s="25"/>
      <c r="AC137" s="27"/>
      <c r="AD137" s="25"/>
      <c r="AE137" s="25"/>
      <c r="AF137" s="27"/>
      <c r="AI137" s="27"/>
      <c r="AL137" s="27"/>
      <c r="AO137" s="27"/>
    </row>
    <row r="138" spans="1:41" x14ac:dyDescent="0.2">
      <c r="A138" s="6">
        <v>147</v>
      </c>
      <c r="B138" s="196" t="s">
        <v>839</v>
      </c>
      <c r="C138" s="197">
        <f t="shared" si="42"/>
        <v>0</v>
      </c>
      <c r="D138" s="198" t="s">
        <v>22</v>
      </c>
      <c r="E138" s="199">
        <f t="shared" si="43"/>
        <v>0</v>
      </c>
      <c r="G138" s="49"/>
      <c r="H138" s="51"/>
      <c r="I138" s="27"/>
      <c r="M138" s="27"/>
      <c r="Q138" s="27"/>
      <c r="T138" s="27"/>
      <c r="W138" s="27"/>
      <c r="Z138" s="27"/>
      <c r="AA138" s="25"/>
      <c r="AB138" s="25"/>
      <c r="AC138" s="27"/>
      <c r="AD138" s="25"/>
      <c r="AE138" s="25"/>
      <c r="AF138" s="27"/>
      <c r="AI138" s="27"/>
      <c r="AL138" s="27"/>
      <c r="AO138" s="27"/>
    </row>
    <row r="139" spans="1:41" x14ac:dyDescent="0.2">
      <c r="A139" s="6">
        <v>148</v>
      </c>
      <c r="B139" s="196" t="s">
        <v>840</v>
      </c>
      <c r="C139" s="197">
        <f t="shared" si="42"/>
        <v>0</v>
      </c>
      <c r="D139" s="198" t="s">
        <v>22</v>
      </c>
      <c r="E139" s="199">
        <f t="shared" si="43"/>
        <v>0</v>
      </c>
      <c r="G139" s="49"/>
      <c r="H139" s="51"/>
      <c r="I139" s="27"/>
      <c r="M139" s="27"/>
      <c r="Q139" s="27"/>
      <c r="T139" s="27"/>
      <c r="W139" s="27"/>
      <c r="Z139" s="27"/>
      <c r="AA139" s="25"/>
      <c r="AB139" s="25"/>
      <c r="AC139" s="27"/>
      <c r="AD139" s="25"/>
      <c r="AE139" s="25"/>
      <c r="AF139" s="27"/>
      <c r="AI139" s="27"/>
      <c r="AL139" s="27"/>
      <c r="AO139" s="27"/>
    </row>
    <row r="140" spans="1:41" x14ac:dyDescent="0.2">
      <c r="A140" s="6">
        <v>149</v>
      </c>
      <c r="B140" s="196" t="s">
        <v>841</v>
      </c>
      <c r="C140" s="197">
        <f t="shared" si="42"/>
        <v>0</v>
      </c>
      <c r="D140" s="198" t="s">
        <v>22</v>
      </c>
      <c r="E140" s="199">
        <f t="shared" si="43"/>
        <v>0</v>
      </c>
      <c r="G140" s="49"/>
      <c r="H140" s="51"/>
      <c r="I140" s="27"/>
      <c r="M140" s="27"/>
      <c r="Q140" s="27"/>
      <c r="T140" s="27"/>
      <c r="W140" s="27"/>
      <c r="Z140" s="27"/>
      <c r="AA140" s="25"/>
      <c r="AB140" s="25"/>
      <c r="AC140" s="27"/>
      <c r="AD140" s="25"/>
      <c r="AE140" s="25"/>
      <c r="AF140" s="27"/>
      <c r="AI140" s="27"/>
      <c r="AL140" s="27"/>
      <c r="AO140" s="27"/>
    </row>
    <row r="141" spans="1:41" x14ac:dyDescent="0.2">
      <c r="A141" s="6">
        <v>150</v>
      </c>
      <c r="B141" s="7" t="s">
        <v>124</v>
      </c>
      <c r="C141" s="8">
        <f t="shared" si="32"/>
        <v>2582.1015862499994</v>
      </c>
      <c r="D141" s="9" t="s">
        <v>33</v>
      </c>
      <c r="E141" s="10">
        <f t="shared" si="33"/>
        <v>2510.2871499999997</v>
      </c>
      <c r="F141" t="s">
        <v>76</v>
      </c>
      <c r="G141" t="s">
        <v>24</v>
      </c>
      <c r="I141" s="27">
        <v>1849.2660000000001</v>
      </c>
      <c r="J141" t="s">
        <v>153</v>
      </c>
      <c r="K141" t="s">
        <v>25</v>
      </c>
      <c r="M141" s="27">
        <f>1*532.273333333333</f>
        <v>532.27333333333297</v>
      </c>
      <c r="N141" t="s">
        <v>36</v>
      </c>
      <c r="O141" t="s">
        <v>25</v>
      </c>
      <c r="Q141" s="27">
        <v>61.831149999999994</v>
      </c>
      <c r="R141" t="s">
        <v>77</v>
      </c>
      <c r="S141" t="s">
        <v>25</v>
      </c>
      <c r="T141" s="27">
        <v>66.916666666666671</v>
      </c>
      <c r="W141" s="27"/>
      <c r="Z141" s="27"/>
      <c r="AA141" s="25"/>
      <c r="AB141" s="25"/>
      <c r="AC141" s="27"/>
      <c r="AD141" s="25"/>
      <c r="AE141" s="25"/>
      <c r="AF141" s="27"/>
      <c r="AH141" t="s">
        <v>25</v>
      </c>
      <c r="AI141" s="27">
        <f>'Yhtiökohtaiset arvot'!D20/(8/4)</f>
        <v>4.5854562499999991</v>
      </c>
      <c r="AL141" s="27"/>
      <c r="AM141" t="s">
        <v>739</v>
      </c>
      <c r="AO141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42" spans="1:41" x14ac:dyDescent="0.2">
      <c r="A142" s="6">
        <v>151</v>
      </c>
      <c r="B142" s="7" t="s">
        <v>125</v>
      </c>
      <c r="C142" s="8">
        <f t="shared" si="32"/>
        <v>3114.374919583332</v>
      </c>
      <c r="D142" s="9" t="s">
        <v>33</v>
      </c>
      <c r="E142" s="10">
        <f t="shared" si="33"/>
        <v>3042.5604833333323</v>
      </c>
      <c r="F142" t="s">
        <v>76</v>
      </c>
      <c r="G142" t="s">
        <v>24</v>
      </c>
      <c r="I142" s="27">
        <v>1849.2660000000001</v>
      </c>
      <c r="J142" t="s">
        <v>153</v>
      </c>
      <c r="K142" t="s">
        <v>25</v>
      </c>
      <c r="M142" s="27">
        <f>2*532.273333333333</f>
        <v>1064.5466666666659</v>
      </c>
      <c r="N142" t="s">
        <v>36</v>
      </c>
      <c r="O142" t="s">
        <v>25</v>
      </c>
      <c r="Q142" s="27">
        <v>61.831149999999994</v>
      </c>
      <c r="R142" t="s">
        <v>77</v>
      </c>
      <c r="S142" t="s">
        <v>25</v>
      </c>
      <c r="T142" s="27">
        <v>66.916666666666671</v>
      </c>
      <c r="W142" s="27"/>
      <c r="Z142" s="27"/>
      <c r="AA142" s="25"/>
      <c r="AB142" s="25"/>
      <c r="AC142" s="27"/>
      <c r="AD142" s="25"/>
      <c r="AE142" s="25"/>
      <c r="AF142" s="27"/>
      <c r="AH142" t="s">
        <v>25</v>
      </c>
      <c r="AI142" s="27">
        <f>'Yhtiökohtaiset arvot'!D20/(8/4)</f>
        <v>4.5854562499999991</v>
      </c>
      <c r="AL142" s="27"/>
      <c r="AM142" t="s">
        <v>739</v>
      </c>
      <c r="AO142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43" spans="1:41" x14ac:dyDescent="0.2">
      <c r="A143" s="6">
        <v>152</v>
      </c>
      <c r="B143" s="7" t="s">
        <v>126</v>
      </c>
      <c r="C143" s="8">
        <f t="shared" si="32"/>
        <v>3646.6482529166651</v>
      </c>
      <c r="D143" s="9" t="s">
        <v>33</v>
      </c>
      <c r="E143" s="10">
        <f t="shared" si="33"/>
        <v>3574.8338166666654</v>
      </c>
      <c r="F143" t="s">
        <v>76</v>
      </c>
      <c r="G143" t="s">
        <v>24</v>
      </c>
      <c r="I143" s="27">
        <v>1849.2660000000001</v>
      </c>
      <c r="J143" t="s">
        <v>153</v>
      </c>
      <c r="K143" t="s">
        <v>25</v>
      </c>
      <c r="M143" s="27">
        <f>3*532.273333333333</f>
        <v>1596.8199999999988</v>
      </c>
      <c r="N143" t="s">
        <v>36</v>
      </c>
      <c r="O143" t="s">
        <v>25</v>
      </c>
      <c r="Q143" s="27">
        <v>61.831149999999994</v>
      </c>
      <c r="R143" t="s">
        <v>77</v>
      </c>
      <c r="S143" t="s">
        <v>25</v>
      </c>
      <c r="T143" s="27">
        <v>66.916666666666671</v>
      </c>
      <c r="W143" s="27"/>
      <c r="Z143" s="27"/>
      <c r="AA143" s="25"/>
      <c r="AB143" s="25"/>
      <c r="AC143" s="27"/>
      <c r="AD143" s="25"/>
      <c r="AE143" s="25"/>
      <c r="AF143" s="27"/>
      <c r="AH143" t="s">
        <v>25</v>
      </c>
      <c r="AI143" s="27">
        <f>'Yhtiökohtaiset arvot'!D20/(8/4)</f>
        <v>4.5854562499999991</v>
      </c>
      <c r="AL143" s="27"/>
      <c r="AM143" t="s">
        <v>739</v>
      </c>
      <c r="AO143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44" spans="1:41" x14ac:dyDescent="0.2">
      <c r="A144" s="6">
        <v>153</v>
      </c>
      <c r="B144" s="7" t="s">
        <v>127</v>
      </c>
      <c r="C144" s="8">
        <f t="shared" si="32"/>
        <v>5809.2812192499987</v>
      </c>
      <c r="D144" s="9" t="s">
        <v>33</v>
      </c>
      <c r="E144" s="10">
        <f t="shared" si="33"/>
        <v>5680.3221499999991</v>
      </c>
      <c r="F144" t="s">
        <v>76</v>
      </c>
      <c r="G144" t="s">
        <v>24</v>
      </c>
      <c r="I144" s="27">
        <v>3422.4810000000002</v>
      </c>
      <c r="J144" t="s">
        <v>153</v>
      </c>
      <c r="K144" t="s">
        <v>25</v>
      </c>
      <c r="M144" s="27">
        <f>4*532.273333333333</f>
        <v>2129.0933333333319</v>
      </c>
      <c r="N144" t="s">
        <v>36</v>
      </c>
      <c r="O144" t="s">
        <v>25</v>
      </c>
      <c r="Q144" s="27">
        <v>61.831149999999994</v>
      </c>
      <c r="R144" t="s">
        <v>77</v>
      </c>
      <c r="S144" t="s">
        <v>25</v>
      </c>
      <c r="T144" s="27">
        <v>66.916666666666671</v>
      </c>
      <c r="W144" s="27"/>
      <c r="Z144" s="27"/>
      <c r="AA144" s="25"/>
      <c r="AB144" s="25"/>
      <c r="AC144" s="27"/>
      <c r="AD144" s="25"/>
      <c r="AE144" s="25"/>
      <c r="AF144" s="27"/>
      <c r="AH144" t="s">
        <v>25</v>
      </c>
      <c r="AI144" s="27">
        <f>'Yhtiökohtaiset arvot'!D20/(8/4)</f>
        <v>4.5854562499999991</v>
      </c>
      <c r="AL144" s="27"/>
      <c r="AM144" t="s">
        <v>743</v>
      </c>
      <c r="AO144" s="27">
        <f>(4200*1.85)/1000*IF(ISNUMBER('Yhtiökohtaiset arvot'!D25),'Yhtiökohtaiset arvot'!D25,'Yhtiökohtaiset arvot'!B25)*IF(ISNUMBER('Yhtiökohtaiset arvot'!D26),'Yhtiökohtaiset arvot'!D26,'Yhtiökohtaiset arvot'!B26)/1000</f>
        <v>124.37361300000001</v>
      </c>
    </row>
    <row r="145" spans="1:41" x14ac:dyDescent="0.2">
      <c r="A145" s="6">
        <v>154</v>
      </c>
      <c r="B145" s="7" t="s">
        <v>128</v>
      </c>
      <c r="C145" s="8">
        <f t="shared" si="32"/>
        <v>6341.5545525833313</v>
      </c>
      <c r="D145" s="9" t="s">
        <v>33</v>
      </c>
      <c r="E145" s="10">
        <f t="shared" si="33"/>
        <v>6212.5954833333317</v>
      </c>
      <c r="F145" t="s">
        <v>76</v>
      </c>
      <c r="G145" t="s">
        <v>24</v>
      </c>
      <c r="I145" s="27">
        <v>3422.4810000000002</v>
      </c>
      <c r="J145" t="s">
        <v>153</v>
      </c>
      <c r="K145" t="s">
        <v>25</v>
      </c>
      <c r="M145" s="27">
        <f>5*532.273333333333</f>
        <v>2661.366666666665</v>
      </c>
      <c r="N145" t="s">
        <v>36</v>
      </c>
      <c r="O145" t="s">
        <v>25</v>
      </c>
      <c r="Q145" s="27">
        <v>61.831149999999994</v>
      </c>
      <c r="R145" t="s">
        <v>77</v>
      </c>
      <c r="S145" t="s">
        <v>25</v>
      </c>
      <c r="T145" s="27">
        <v>66.916666666666671</v>
      </c>
      <c r="W145" s="27"/>
      <c r="Z145" s="27"/>
      <c r="AA145" s="25"/>
      <c r="AB145" s="25"/>
      <c r="AC145" s="27"/>
      <c r="AD145" s="25"/>
      <c r="AE145" s="25"/>
      <c r="AF145" s="27"/>
      <c r="AH145" t="s">
        <v>25</v>
      </c>
      <c r="AI145" s="27">
        <f>'Yhtiökohtaiset arvot'!D20/(8/4)</f>
        <v>4.5854562499999991</v>
      </c>
      <c r="AL145" s="27"/>
      <c r="AM145" t="s">
        <v>743</v>
      </c>
      <c r="AO145" s="27">
        <f>(4200*1.85)/1000*IF(ISNUMBER('Yhtiökohtaiset arvot'!D25),'Yhtiökohtaiset arvot'!D25,'Yhtiökohtaiset arvot'!B25)*IF(ISNUMBER('Yhtiökohtaiset arvot'!D26),'Yhtiökohtaiset arvot'!D26,'Yhtiökohtaiset arvot'!B26)/1000</f>
        <v>124.37361300000001</v>
      </c>
    </row>
    <row r="146" spans="1:41" x14ac:dyDescent="0.2">
      <c r="A146" s="6">
        <v>155</v>
      </c>
      <c r="B146" s="196" t="s">
        <v>842</v>
      </c>
      <c r="C146" s="197">
        <f t="shared" ref="C146:C149" si="44">SUM(I146,M146,Q146,T146,W146,Z146,AC146,AF146,AI146,AL146,AO146)</f>
        <v>0</v>
      </c>
      <c r="D146" s="198" t="s">
        <v>33</v>
      </c>
      <c r="E146" s="199">
        <f t="shared" ref="E146:E149" si="45">SUM(I146,M146,Q146,T146,W146,Z146,AC146,AF146)</f>
        <v>0</v>
      </c>
      <c r="I146" s="27"/>
      <c r="M146" s="27"/>
      <c r="Q146" s="27"/>
      <c r="T146" s="27"/>
      <c r="W146" s="27"/>
      <c r="Z146" s="27"/>
      <c r="AA146" s="25"/>
      <c r="AB146" s="25"/>
      <c r="AC146" s="27"/>
      <c r="AD146" s="25"/>
      <c r="AE146" s="25"/>
      <c r="AF146" s="27"/>
      <c r="AI146" s="27"/>
      <c r="AL146" s="27"/>
      <c r="AO146" s="27"/>
    </row>
    <row r="147" spans="1:41" x14ac:dyDescent="0.2">
      <c r="A147" s="6">
        <v>156</v>
      </c>
      <c r="B147" s="196" t="s">
        <v>843</v>
      </c>
      <c r="C147" s="197">
        <f t="shared" si="44"/>
        <v>0</v>
      </c>
      <c r="D147" s="198" t="s">
        <v>33</v>
      </c>
      <c r="E147" s="199">
        <f t="shared" si="45"/>
        <v>0</v>
      </c>
      <c r="I147" s="27"/>
      <c r="M147" s="27"/>
      <c r="Q147" s="27"/>
      <c r="T147" s="27"/>
      <c r="W147" s="27"/>
      <c r="Z147" s="27"/>
      <c r="AA147" s="25"/>
      <c r="AB147" s="25"/>
      <c r="AC147" s="27"/>
      <c r="AD147" s="25"/>
      <c r="AE147" s="25"/>
      <c r="AF147" s="27"/>
      <c r="AI147" s="27"/>
      <c r="AL147" s="27"/>
      <c r="AO147" s="27"/>
    </row>
    <row r="148" spans="1:41" x14ac:dyDescent="0.2">
      <c r="A148" s="6">
        <v>157</v>
      </c>
      <c r="B148" s="196" t="s">
        <v>844</v>
      </c>
      <c r="C148" s="197">
        <f t="shared" si="44"/>
        <v>0</v>
      </c>
      <c r="D148" s="198" t="s">
        <v>33</v>
      </c>
      <c r="E148" s="199">
        <f t="shared" si="45"/>
        <v>0</v>
      </c>
      <c r="I148" s="27"/>
      <c r="M148" s="27"/>
      <c r="Q148" s="27"/>
      <c r="T148" s="27"/>
      <c r="W148" s="27"/>
      <c r="Z148" s="27"/>
      <c r="AA148" s="25"/>
      <c r="AB148" s="25"/>
      <c r="AC148" s="27"/>
      <c r="AD148" s="25"/>
      <c r="AE148" s="25"/>
      <c r="AF148" s="27"/>
      <c r="AI148" s="27"/>
      <c r="AL148" s="27"/>
      <c r="AO148" s="27"/>
    </row>
    <row r="149" spans="1:41" x14ac:dyDescent="0.2">
      <c r="A149" s="6">
        <v>158</v>
      </c>
      <c r="B149" s="196" t="s">
        <v>845</v>
      </c>
      <c r="C149" s="197">
        <f t="shared" si="44"/>
        <v>0</v>
      </c>
      <c r="D149" s="198" t="s">
        <v>33</v>
      </c>
      <c r="E149" s="199">
        <f t="shared" si="45"/>
        <v>0</v>
      </c>
      <c r="I149" s="27"/>
      <c r="M149" s="27"/>
      <c r="Q149" s="27"/>
      <c r="T149" s="27"/>
      <c r="W149" s="27"/>
      <c r="Z149" s="27"/>
      <c r="AA149" s="25"/>
      <c r="AB149" s="25"/>
      <c r="AC149" s="27"/>
      <c r="AD149" s="25"/>
      <c r="AE149" s="25"/>
      <c r="AF149" s="27"/>
      <c r="AI149" s="27"/>
      <c r="AL149" s="27"/>
      <c r="AO149" s="27"/>
    </row>
    <row r="150" spans="1:41" x14ac:dyDescent="0.2">
      <c r="A150" s="6">
        <v>159</v>
      </c>
      <c r="B150" s="7" t="s">
        <v>129</v>
      </c>
      <c r="C150" s="8">
        <f t="shared" si="32"/>
        <v>13944.9653703</v>
      </c>
      <c r="D150" s="9" t="s">
        <v>22</v>
      </c>
      <c r="E150" s="10">
        <f t="shared" si="33"/>
        <v>13890.75</v>
      </c>
      <c r="F150" t="s">
        <v>50</v>
      </c>
      <c r="G150" s="49" t="s">
        <v>275</v>
      </c>
      <c r="H150" s="51" t="s">
        <v>284</v>
      </c>
      <c r="I150" s="27">
        <v>13722</v>
      </c>
      <c r="J150" t="s">
        <v>130</v>
      </c>
      <c r="K150" t="s">
        <v>25</v>
      </c>
      <c r="M150" s="27">
        <f>1000/20*25*0.135</f>
        <v>168.75</v>
      </c>
      <c r="Q150" s="27"/>
      <c r="T150" s="27"/>
      <c r="W150" s="27"/>
      <c r="Z150" s="27"/>
      <c r="AA150" s="25"/>
      <c r="AB150" s="25"/>
      <c r="AC150" s="27"/>
      <c r="AD150" s="25"/>
      <c r="AE150" s="25"/>
      <c r="AF150" s="27"/>
      <c r="AI150" s="27"/>
      <c r="AL150" s="27"/>
      <c r="AM150" t="s">
        <v>757</v>
      </c>
      <c r="AO150" s="27">
        <f>(2531+2*428)/1000*IF(ISNUMBER('Yhtiökohtaiset arvot'!D25),'Yhtiökohtaiset arvot'!D25,'Yhtiökohtaiset arvot'!B25)*IF(ISNUMBER('Yhtiökohtaiset arvot'!D26),'Yhtiökohtaiset arvot'!D26,'Yhtiökohtaiset arvot'!B26)/1000</f>
        <v>54.215370300000004</v>
      </c>
    </row>
    <row r="151" spans="1:41" x14ac:dyDescent="0.2">
      <c r="A151" s="6">
        <v>160</v>
      </c>
      <c r="B151" s="7" t="s">
        <v>131</v>
      </c>
      <c r="C151" s="8">
        <f t="shared" si="32"/>
        <v>16397.951950899998</v>
      </c>
      <c r="D151" s="9" t="s">
        <v>22</v>
      </c>
      <c r="E151" s="10">
        <f t="shared" si="33"/>
        <v>16337.75</v>
      </c>
      <c r="F151" t="s">
        <v>50</v>
      </c>
      <c r="G151" s="49" t="s">
        <v>275</v>
      </c>
      <c r="H151" s="51" t="s">
        <v>284</v>
      </c>
      <c r="I151" s="27">
        <v>16169</v>
      </c>
      <c r="J151" t="s">
        <v>130</v>
      </c>
      <c r="K151" t="s">
        <v>25</v>
      </c>
      <c r="M151" s="27">
        <f t="shared" ref="M151:M156" si="46">1000/20*25*0.135</f>
        <v>168.75</v>
      </c>
      <c r="Q151" s="27"/>
      <c r="T151" s="27"/>
      <c r="W151" s="27"/>
      <c r="Z151" s="27"/>
      <c r="AA151" s="25"/>
      <c r="AB151" s="25"/>
      <c r="AC151" s="27"/>
      <c r="AD151" s="25"/>
      <c r="AE151" s="25"/>
      <c r="AF151" s="27"/>
      <c r="AI151" s="27"/>
      <c r="AL151" s="27"/>
      <c r="AM151" t="s">
        <v>758</v>
      </c>
      <c r="AO151" s="27">
        <f>(2905+2*428)/1000*IF(ISNUMBER('Yhtiökohtaiset arvot'!D25),'Yhtiökohtaiset arvot'!D25,'Yhtiökohtaiset arvot'!B25)*IF(ISNUMBER('Yhtiökohtaiset arvot'!D26),'Yhtiökohtaiset arvot'!D26,'Yhtiökohtaiset arvot'!B26)/1000</f>
        <v>60.201950900000014</v>
      </c>
    </row>
    <row r="152" spans="1:41" x14ac:dyDescent="0.2">
      <c r="A152" s="6">
        <v>161</v>
      </c>
      <c r="B152" s="7" t="s">
        <v>132</v>
      </c>
      <c r="C152" s="8">
        <f t="shared" si="32"/>
        <v>18329.673986400001</v>
      </c>
      <c r="D152" s="9" t="s">
        <v>22</v>
      </c>
      <c r="E152" s="10">
        <f t="shared" si="33"/>
        <v>18264.75</v>
      </c>
      <c r="F152" t="s">
        <v>50</v>
      </c>
      <c r="G152" s="49" t="s">
        <v>275</v>
      </c>
      <c r="H152" s="51" t="s">
        <v>284</v>
      </c>
      <c r="I152" s="27">
        <v>18096</v>
      </c>
      <c r="J152" t="s">
        <v>130</v>
      </c>
      <c r="K152" t="s">
        <v>25</v>
      </c>
      <c r="M152" s="27">
        <f t="shared" si="46"/>
        <v>168.75</v>
      </c>
      <c r="Q152" s="27"/>
      <c r="T152" s="27"/>
      <c r="W152" s="27"/>
      <c r="Z152" s="27"/>
      <c r="AA152" s="25"/>
      <c r="AB152" s="25"/>
      <c r="AC152" s="27"/>
      <c r="AD152" s="25"/>
      <c r="AE152" s="25"/>
      <c r="AF152" s="27"/>
      <c r="AI152" s="27"/>
      <c r="AL152" s="27"/>
      <c r="AM152" t="s">
        <v>759</v>
      </c>
      <c r="AO152" s="27">
        <f>(3200+2*428)/1000*IF(ISNUMBER('Yhtiökohtaiset arvot'!D25),'Yhtiökohtaiset arvot'!D25,'Yhtiökohtaiset arvot'!B25)*IF(ISNUMBER('Yhtiökohtaiset arvot'!D26),'Yhtiökohtaiset arvot'!D26,'Yhtiökohtaiset arvot'!B26)/1000</f>
        <v>64.923986400000004</v>
      </c>
    </row>
    <row r="153" spans="1:41" x14ac:dyDescent="0.2">
      <c r="A153" s="6">
        <v>162</v>
      </c>
      <c r="B153" s="7" t="s">
        <v>133</v>
      </c>
      <c r="C153" s="8">
        <f t="shared" si="32"/>
        <v>20766.3363068</v>
      </c>
      <c r="D153" s="9" t="s">
        <v>22</v>
      </c>
      <c r="E153" s="10">
        <f t="shared" si="33"/>
        <v>20686.75</v>
      </c>
      <c r="F153" t="s">
        <v>50</v>
      </c>
      <c r="G153" s="49" t="s">
        <v>275</v>
      </c>
      <c r="H153" s="51" t="s">
        <v>284</v>
      </c>
      <c r="I153" s="27">
        <v>20518</v>
      </c>
      <c r="J153" t="s">
        <v>130</v>
      </c>
      <c r="K153" t="s">
        <v>25</v>
      </c>
      <c r="M153" s="27">
        <f t="shared" si="46"/>
        <v>168.75</v>
      </c>
      <c r="Q153" s="27"/>
      <c r="T153" s="27"/>
      <c r="W153" s="27"/>
      <c r="Z153" s="27"/>
      <c r="AA153" s="25"/>
      <c r="AB153" s="25"/>
      <c r="AC153" s="27"/>
      <c r="AD153" s="25"/>
      <c r="AE153" s="25"/>
      <c r="AF153" s="27"/>
      <c r="AI153" s="27"/>
      <c r="AL153" s="27"/>
      <c r="AM153" t="s">
        <v>760</v>
      </c>
      <c r="AN153" s="25"/>
      <c r="AO153" s="27">
        <f>(3570+2*701)/1000*IF(ISNUMBER('Yhtiökohtaiset arvot'!D25),'Yhtiökohtaiset arvot'!D25,'Yhtiökohtaiset arvot'!B25)*IF(ISNUMBER('Yhtiökohtaiset arvot'!D26),'Yhtiökohtaiset arvot'!D26,'Yhtiökohtaiset arvot'!B26)/1000</f>
        <v>79.586306800000017</v>
      </c>
    </row>
    <row r="154" spans="1:41" x14ac:dyDescent="0.2">
      <c r="A154" s="6">
        <v>163</v>
      </c>
      <c r="B154" s="7" t="s">
        <v>134</v>
      </c>
      <c r="C154" s="8">
        <f t="shared" si="32"/>
        <v>24179.6759017</v>
      </c>
      <c r="D154" s="9" t="s">
        <v>22</v>
      </c>
      <c r="E154" s="10">
        <f t="shared" si="33"/>
        <v>24091.75</v>
      </c>
      <c r="F154" t="s">
        <v>50</v>
      </c>
      <c r="G154" s="49" t="s">
        <v>275</v>
      </c>
      <c r="H154" s="51" t="s">
        <v>284</v>
      </c>
      <c r="I154" s="27">
        <v>23923</v>
      </c>
      <c r="J154" t="s">
        <v>130</v>
      </c>
      <c r="K154" t="s">
        <v>25</v>
      </c>
      <c r="M154" s="27">
        <f t="shared" si="46"/>
        <v>168.75</v>
      </c>
      <c r="Q154" s="27"/>
      <c r="T154" s="27"/>
      <c r="W154" s="27"/>
      <c r="Z154" s="27"/>
      <c r="AA154" s="25"/>
      <c r="AB154" s="25"/>
      <c r="AC154" s="27"/>
      <c r="AD154" s="25"/>
      <c r="AE154" s="25"/>
      <c r="AF154" s="27"/>
      <c r="AI154" s="27"/>
      <c r="AL154" s="27"/>
      <c r="AM154" t="s">
        <v>761</v>
      </c>
      <c r="AO154" s="27">
        <f>(4091+2*701)/1000*IF(ISNUMBER('Yhtiökohtaiset arvot'!D25),'Yhtiökohtaiset arvot'!D25,'Yhtiökohtaiset arvot'!B25)*IF(ISNUMBER('Yhtiökohtaiset arvot'!D26),'Yhtiökohtaiset arvot'!D26,'Yhtiökohtaiset arvot'!B26)/1000</f>
        <v>87.925901700000011</v>
      </c>
    </row>
    <row r="155" spans="1:41" x14ac:dyDescent="0.2">
      <c r="A155" s="6">
        <v>164</v>
      </c>
      <c r="B155" s="7" t="s">
        <v>135</v>
      </c>
      <c r="C155" s="8">
        <f t="shared" si="32"/>
        <v>30815.853030400001</v>
      </c>
      <c r="D155" s="9" t="s">
        <v>22</v>
      </c>
      <c r="E155" s="10">
        <f t="shared" si="33"/>
        <v>30706.75</v>
      </c>
      <c r="F155" t="s">
        <v>50</v>
      </c>
      <c r="G155" s="49" t="s">
        <v>275</v>
      </c>
      <c r="H155" s="51" t="s">
        <v>284</v>
      </c>
      <c r="I155" s="27">
        <v>30538</v>
      </c>
      <c r="J155" t="s">
        <v>130</v>
      </c>
      <c r="K155" t="s">
        <v>25</v>
      </c>
      <c r="M155" s="27">
        <f t="shared" si="46"/>
        <v>168.75</v>
      </c>
      <c r="Q155" s="27"/>
      <c r="T155" s="27"/>
      <c r="W155" s="27"/>
      <c r="Z155" s="27"/>
      <c r="AA155" s="25"/>
      <c r="AB155" s="25"/>
      <c r="AC155" s="27"/>
      <c r="AD155" s="25"/>
      <c r="AE155" s="25"/>
      <c r="AF155" s="27"/>
      <c r="AI155" s="27"/>
      <c r="AL155" s="27"/>
      <c r="AM155" t="s">
        <v>762</v>
      </c>
      <c r="AO155" s="27">
        <f>(4868+2*974)/1000*IF(ISNUMBER('Yhtiökohtaiset arvot'!D25),'Yhtiökohtaiset arvot'!D25,'Yhtiökohtaiset arvot'!B25)*IF(ISNUMBER('Yhtiökohtaiset arvot'!D26),'Yhtiökohtaiset arvot'!D26,'Yhtiökohtaiset arvot'!B26)/1000</f>
        <v>109.10303040000002</v>
      </c>
    </row>
    <row r="156" spans="1:41" x14ac:dyDescent="0.2">
      <c r="A156" s="6">
        <v>165</v>
      </c>
      <c r="B156" s="7" t="s">
        <v>136</v>
      </c>
      <c r="C156" s="8">
        <f t="shared" si="32"/>
        <v>34104.6181019</v>
      </c>
      <c r="D156" s="9" t="s">
        <v>22</v>
      </c>
      <c r="E156" s="10">
        <f t="shared" si="33"/>
        <v>33983.75</v>
      </c>
      <c r="F156" t="s">
        <v>50</v>
      </c>
      <c r="G156" s="49" t="s">
        <v>275</v>
      </c>
      <c r="H156" s="51" t="s">
        <v>284</v>
      </c>
      <c r="I156" s="27">
        <v>33815</v>
      </c>
      <c r="J156" t="s">
        <v>130</v>
      </c>
      <c r="K156" t="s">
        <v>25</v>
      </c>
      <c r="M156" s="27">
        <f t="shared" si="46"/>
        <v>168.75</v>
      </c>
      <c r="Q156" s="27"/>
      <c r="T156" s="27"/>
      <c r="W156" s="27"/>
      <c r="Z156" s="27"/>
      <c r="AA156" s="25"/>
      <c r="AB156" s="25"/>
      <c r="AC156" s="27"/>
      <c r="AD156" s="25"/>
      <c r="AE156" s="25"/>
      <c r="AF156" s="27"/>
      <c r="AI156" s="27"/>
      <c r="AL156" s="27"/>
      <c r="AM156" t="s">
        <v>763</v>
      </c>
      <c r="AO156" s="27">
        <f>(5603+2*974)/1000*IF(ISNUMBER('Yhtiökohtaiset arvot'!D25),'Yhtiökohtaiset arvot'!D25,'Yhtiökohtaiset arvot'!B25)*IF(ISNUMBER('Yhtiökohtaiset arvot'!D26),'Yhtiökohtaiset arvot'!D26,'Yhtiökohtaiset arvot'!B26)/1000</f>
        <v>120.86810190000003</v>
      </c>
    </row>
    <row r="157" spans="1:41" x14ac:dyDescent="0.2">
      <c r="A157" s="6">
        <v>166</v>
      </c>
      <c r="B157" s="196" t="s">
        <v>846</v>
      </c>
      <c r="C157" s="197">
        <f t="shared" ref="C157:C163" si="47">SUM(I157,M157,Q157,T157,W157,Z157,AC157,AF157,AI157,AL157,AO157)</f>
        <v>0</v>
      </c>
      <c r="D157" s="198" t="s">
        <v>22</v>
      </c>
      <c r="E157" s="199">
        <f t="shared" ref="E157:E163" si="48">SUM(I157,M157,Q157,T157,W157,Z157,AC157,AF157)</f>
        <v>0</v>
      </c>
      <c r="G157" s="49"/>
      <c r="H157" s="51"/>
      <c r="I157" s="27"/>
      <c r="M157" s="27"/>
      <c r="Q157" s="27"/>
      <c r="T157" s="27"/>
      <c r="W157" s="27"/>
      <c r="Z157" s="27"/>
      <c r="AA157" s="25"/>
      <c r="AB157" s="25"/>
      <c r="AC157" s="27"/>
      <c r="AD157" s="25"/>
      <c r="AE157" s="25"/>
      <c r="AF157" s="27"/>
      <c r="AI157" s="27"/>
      <c r="AL157" s="27"/>
      <c r="AO157" s="27"/>
    </row>
    <row r="158" spans="1:41" x14ac:dyDescent="0.2">
      <c r="A158" s="6">
        <v>167</v>
      </c>
      <c r="B158" s="196" t="s">
        <v>847</v>
      </c>
      <c r="C158" s="197">
        <f t="shared" si="47"/>
        <v>0</v>
      </c>
      <c r="D158" s="198" t="s">
        <v>22</v>
      </c>
      <c r="E158" s="199">
        <f t="shared" si="48"/>
        <v>0</v>
      </c>
      <c r="G158" s="49"/>
      <c r="H158" s="51"/>
      <c r="I158" s="27"/>
      <c r="M158" s="27"/>
      <c r="Q158" s="27"/>
      <c r="T158" s="27"/>
      <c r="W158" s="27"/>
      <c r="Z158" s="27"/>
      <c r="AA158" s="25"/>
      <c r="AB158" s="25"/>
      <c r="AC158" s="27"/>
      <c r="AD158" s="25"/>
      <c r="AE158" s="25"/>
      <c r="AF158" s="27"/>
      <c r="AI158" s="27"/>
      <c r="AL158" s="27"/>
      <c r="AO158" s="27"/>
    </row>
    <row r="159" spans="1:41" x14ac:dyDescent="0.2">
      <c r="A159" s="6">
        <v>168</v>
      </c>
      <c r="B159" s="196" t="s">
        <v>848</v>
      </c>
      <c r="C159" s="197">
        <f t="shared" si="47"/>
        <v>0</v>
      </c>
      <c r="D159" s="198" t="s">
        <v>22</v>
      </c>
      <c r="E159" s="199">
        <f t="shared" si="48"/>
        <v>0</v>
      </c>
      <c r="G159" s="49"/>
      <c r="H159" s="51"/>
      <c r="I159" s="27"/>
      <c r="M159" s="27"/>
      <c r="Q159" s="27"/>
      <c r="T159" s="27"/>
      <c r="W159" s="27"/>
      <c r="Z159" s="27"/>
      <c r="AA159" s="25"/>
      <c r="AB159" s="25"/>
      <c r="AC159" s="27"/>
      <c r="AD159" s="25"/>
      <c r="AE159" s="25"/>
      <c r="AF159" s="27"/>
      <c r="AI159" s="27"/>
      <c r="AL159" s="27"/>
      <c r="AO159" s="27"/>
    </row>
    <row r="160" spans="1:41" x14ac:dyDescent="0.2">
      <c r="A160" s="6">
        <v>169</v>
      </c>
      <c r="B160" s="196" t="s">
        <v>849</v>
      </c>
      <c r="C160" s="197">
        <f t="shared" si="47"/>
        <v>0</v>
      </c>
      <c r="D160" s="198" t="s">
        <v>22</v>
      </c>
      <c r="E160" s="199">
        <f t="shared" si="48"/>
        <v>0</v>
      </c>
      <c r="G160" s="49"/>
      <c r="H160" s="51"/>
      <c r="I160" s="27"/>
      <c r="M160" s="27"/>
      <c r="Q160" s="27"/>
      <c r="T160" s="27"/>
      <c r="W160" s="27"/>
      <c r="Z160" s="27"/>
      <c r="AA160" s="25"/>
      <c r="AB160" s="25"/>
      <c r="AC160" s="27"/>
      <c r="AD160" s="25"/>
      <c r="AE160" s="25"/>
      <c r="AF160" s="27"/>
      <c r="AI160" s="27"/>
      <c r="AL160" s="27"/>
      <c r="AO160" s="27"/>
    </row>
    <row r="161" spans="1:41" x14ac:dyDescent="0.2">
      <c r="A161" s="6">
        <v>170</v>
      </c>
      <c r="B161" s="196" t="s">
        <v>850</v>
      </c>
      <c r="C161" s="197">
        <f t="shared" si="47"/>
        <v>0</v>
      </c>
      <c r="D161" s="198" t="s">
        <v>22</v>
      </c>
      <c r="E161" s="199">
        <f t="shared" si="48"/>
        <v>0</v>
      </c>
      <c r="G161" s="49"/>
      <c r="H161" s="51"/>
      <c r="I161" s="27"/>
      <c r="M161" s="27"/>
      <c r="Q161" s="27"/>
      <c r="T161" s="27"/>
      <c r="W161" s="27"/>
      <c r="Z161" s="27"/>
      <c r="AA161" s="25"/>
      <c r="AB161" s="25"/>
      <c r="AC161" s="27"/>
      <c r="AD161" s="25"/>
      <c r="AE161" s="25"/>
      <c r="AF161" s="27"/>
      <c r="AI161" s="27"/>
      <c r="AL161" s="27"/>
      <c r="AO161" s="27"/>
    </row>
    <row r="162" spans="1:41" x14ac:dyDescent="0.2">
      <c r="A162" s="6">
        <v>171</v>
      </c>
      <c r="B162" s="196" t="s">
        <v>851</v>
      </c>
      <c r="C162" s="197">
        <f t="shared" si="47"/>
        <v>0</v>
      </c>
      <c r="D162" s="198" t="s">
        <v>22</v>
      </c>
      <c r="E162" s="199">
        <f t="shared" si="48"/>
        <v>0</v>
      </c>
      <c r="G162" s="49"/>
      <c r="H162" s="51"/>
      <c r="I162" s="27"/>
      <c r="M162" s="27"/>
      <c r="Q162" s="27"/>
      <c r="T162" s="27"/>
      <c r="W162" s="27"/>
      <c r="Z162" s="27"/>
      <c r="AA162" s="25"/>
      <c r="AB162" s="25"/>
      <c r="AC162" s="27"/>
      <c r="AD162" s="25"/>
      <c r="AE162" s="25"/>
      <c r="AF162" s="27"/>
      <c r="AI162" s="27"/>
      <c r="AL162" s="27"/>
      <c r="AO162" s="27"/>
    </row>
    <row r="163" spans="1:41" x14ac:dyDescent="0.2">
      <c r="A163" s="6">
        <v>172</v>
      </c>
      <c r="B163" s="196" t="s">
        <v>852</v>
      </c>
      <c r="C163" s="197">
        <f t="shared" si="47"/>
        <v>0</v>
      </c>
      <c r="D163" s="198" t="s">
        <v>22</v>
      </c>
      <c r="E163" s="199">
        <f t="shared" si="48"/>
        <v>0</v>
      </c>
      <c r="G163" s="49"/>
      <c r="H163" s="51"/>
      <c r="I163" s="27"/>
      <c r="M163" s="27"/>
      <c r="Q163" s="27"/>
      <c r="T163" s="27"/>
      <c r="W163" s="27"/>
      <c r="Z163" s="27"/>
      <c r="AA163" s="25"/>
      <c r="AB163" s="25"/>
      <c r="AC163" s="27"/>
      <c r="AD163" s="25"/>
      <c r="AE163" s="25"/>
      <c r="AF163" s="27"/>
      <c r="AI163" s="27"/>
      <c r="AL163" s="27"/>
      <c r="AO163" s="27"/>
    </row>
    <row r="164" spans="1:41" x14ac:dyDescent="0.2">
      <c r="A164" s="6">
        <v>173</v>
      </c>
      <c r="B164" s="7" t="s">
        <v>137</v>
      </c>
      <c r="C164" s="8">
        <f t="shared" si="32"/>
        <v>68.260000000000005</v>
      </c>
      <c r="D164" s="9" t="s">
        <v>33</v>
      </c>
      <c r="E164" s="10">
        <f t="shared" si="33"/>
        <v>0</v>
      </c>
      <c r="I164" s="27"/>
      <c r="M164" s="27"/>
      <c r="N164" s="28"/>
      <c r="Q164" s="27"/>
      <c r="T164" s="27"/>
      <c r="W164" s="27"/>
      <c r="Z164" s="27"/>
      <c r="AA164" s="25"/>
      <c r="AB164" s="25"/>
      <c r="AC164" s="27"/>
      <c r="AD164" s="25"/>
      <c r="AE164" s="25"/>
      <c r="AF164" s="27"/>
      <c r="AI164" s="27"/>
      <c r="AJ164" t="s">
        <v>195</v>
      </c>
      <c r="AK164" t="s">
        <v>92</v>
      </c>
      <c r="AL164" s="27">
        <f>2*34.13</f>
        <v>68.260000000000005</v>
      </c>
      <c r="AO164" s="27"/>
    </row>
    <row r="165" spans="1:41" x14ac:dyDescent="0.2">
      <c r="A165" s="6">
        <v>174</v>
      </c>
      <c r="B165" s="7" t="s">
        <v>138</v>
      </c>
      <c r="C165" s="8">
        <f t="shared" si="32"/>
        <v>68.260000000000005</v>
      </c>
      <c r="D165" s="9" t="s">
        <v>33</v>
      </c>
      <c r="E165" s="10">
        <f t="shared" si="33"/>
        <v>0</v>
      </c>
      <c r="I165" s="27"/>
      <c r="M165" s="27"/>
      <c r="N165" s="28"/>
      <c r="Q165" s="27"/>
      <c r="T165" s="27"/>
      <c r="W165" s="27"/>
      <c r="Z165" s="27"/>
      <c r="AA165" s="25"/>
      <c r="AB165" s="25"/>
      <c r="AC165" s="27"/>
      <c r="AD165" s="25"/>
      <c r="AE165" s="25"/>
      <c r="AF165" s="27"/>
      <c r="AI165" s="27"/>
      <c r="AJ165" t="s">
        <v>195</v>
      </c>
      <c r="AK165" t="s">
        <v>92</v>
      </c>
      <c r="AL165" s="27">
        <f>2*34.13</f>
        <v>68.260000000000005</v>
      </c>
      <c r="AO165" s="27"/>
    </row>
    <row r="166" spans="1:41" x14ac:dyDescent="0.2">
      <c r="A166" s="6">
        <v>175</v>
      </c>
      <c r="B166" s="7" t="s">
        <v>139</v>
      </c>
      <c r="C166" s="8">
        <f t="shared" si="32"/>
        <v>176.3818203125</v>
      </c>
      <c r="D166" s="9" t="s">
        <v>22</v>
      </c>
      <c r="E166" s="10">
        <f t="shared" si="33"/>
        <v>0</v>
      </c>
      <c r="I166" s="27"/>
      <c r="M166" s="27"/>
      <c r="N166" s="28"/>
      <c r="Q166" s="27"/>
      <c r="T166" s="27"/>
      <c r="W166" s="27"/>
      <c r="Z166" s="27"/>
      <c r="AA166" s="25"/>
      <c r="AB166" s="25"/>
      <c r="AC166" s="27"/>
      <c r="AD166" s="25"/>
      <c r="AE166" s="25"/>
      <c r="AF166" s="27"/>
      <c r="AI166" s="27"/>
      <c r="AJ166" t="s">
        <v>196</v>
      </c>
      <c r="AK166" t="s">
        <v>92</v>
      </c>
      <c r="AL166" s="27">
        <f>1000/IF(ISNUMBER('Yhtiökohtaiset arvot'!D2),'Yhtiökohtaiset arvot'!D2,'Yhtiökohtaiset arvot'!B2)*34.13+'Yhtiökohtaiset arvot'!D21*IF('Yhtiökohtaiset arvot'!$H$2&gt;0,'Yhtiökohtaiset arvot'!$H$2,'Yhtiökohtaiset arvot'!$F$2)</f>
        <v>176.3818203125</v>
      </c>
      <c r="AO166" s="27"/>
    </row>
    <row r="167" spans="1:41" x14ac:dyDescent="0.2">
      <c r="A167" s="6">
        <v>176</v>
      </c>
      <c r="B167" s="7" t="s">
        <v>140</v>
      </c>
      <c r="C167" s="8">
        <f t="shared" si="32"/>
        <v>352.76364062499999</v>
      </c>
      <c r="D167" s="9" t="s">
        <v>22</v>
      </c>
      <c r="E167" s="10">
        <f t="shared" si="33"/>
        <v>0</v>
      </c>
      <c r="I167" s="27"/>
      <c r="M167" s="27"/>
      <c r="N167" s="28"/>
      <c r="Q167" s="27"/>
      <c r="T167" s="27"/>
      <c r="W167" s="27"/>
      <c r="Z167" s="27"/>
      <c r="AA167" s="25"/>
      <c r="AB167" s="25"/>
      <c r="AC167" s="27"/>
      <c r="AD167" s="25"/>
      <c r="AE167" s="25"/>
      <c r="AF167" s="27"/>
      <c r="AI167" s="27"/>
      <c r="AJ167" t="s">
        <v>195</v>
      </c>
      <c r="AK167" t="s">
        <v>92</v>
      </c>
      <c r="AL167" s="27">
        <f>1000/IF(ISNUMBER('Yhtiökohtaiset arvot'!D3),'Yhtiökohtaiset arvot'!D3,'Yhtiökohtaiset arvot'!B3)*34.13+'Yhtiökohtaiset arvot'!D21*IF('Yhtiökohtaiset arvot'!$H$3&gt;0,'Yhtiökohtaiset arvot'!$H$3,'Yhtiökohtaiset arvot'!$F$3)</f>
        <v>352.76364062499999</v>
      </c>
      <c r="AO167" s="27"/>
    </row>
    <row r="168" spans="1:41" x14ac:dyDescent="0.2">
      <c r="A168" s="6">
        <v>177</v>
      </c>
      <c r="B168" s="7" t="s">
        <v>141</v>
      </c>
      <c r="C168" s="8">
        <f t="shared" ref="C168:C210" si="49">SUM(I168,M168,Q168,T168,W168,Z168,AC168,AF168,AI168,AL168,AO168)</f>
        <v>4440.1636875000004</v>
      </c>
      <c r="D168" s="9" t="s">
        <v>22</v>
      </c>
      <c r="E168" s="10">
        <f t="shared" ref="E168:E210" si="50">SUM(I168,M168,Q168,T168,W168,Z168,AC168,AF168)</f>
        <v>0</v>
      </c>
      <c r="I168" s="27"/>
      <c r="M168" s="27"/>
      <c r="N168" s="28"/>
      <c r="Q168" s="27"/>
      <c r="T168" s="27"/>
      <c r="W168" s="27"/>
      <c r="Z168" s="27"/>
      <c r="AA168" s="25"/>
      <c r="AB168" s="25"/>
      <c r="AC168" s="27"/>
      <c r="AD168" s="25"/>
      <c r="AE168" s="25"/>
      <c r="AF168" s="27"/>
      <c r="AI168" s="27"/>
      <c r="AJ168" t="s">
        <v>197</v>
      </c>
      <c r="AK168" t="s">
        <v>92</v>
      </c>
      <c r="AL168" s="27">
        <f>(1000/IF(ISNUMBER('Yhtiökohtaiset arvot'!D6),'Yhtiökohtaiset arvot'!D6,'Yhtiökohtaiset arvot'!B6)*36.2)+(1000/IF(ISNUMBER('Yhtiökohtaiset arvot'!D5),'Yhtiökohtaiset arvot'!D5,'Yhtiökohtaiset arvot'!B5)*34.13)+'Yhtiökohtaiset arvot'!D21*IF('Yhtiökohtaiset arvot'!$H$5&gt;0,'Yhtiökohtaiset arvot'!$H$5,'Yhtiökohtaiset arvot'!$F$5)+'Yhtiökohtaiset arvot'!D21*IF('Yhtiökohtaiset arvot'!$H$6&gt;0,'Yhtiökohtaiset arvot'!$H$6,'Yhtiökohtaiset arvot'!$F$6)</f>
        <v>4440.1636875000004</v>
      </c>
      <c r="AO168" s="27"/>
    </row>
    <row r="169" spans="1:41" x14ac:dyDescent="0.2">
      <c r="A169" s="6">
        <v>178</v>
      </c>
      <c r="B169" s="7" t="s">
        <v>142</v>
      </c>
      <c r="C169" s="8">
        <f t="shared" si="49"/>
        <v>705.52728124999999</v>
      </c>
      <c r="D169" s="9" t="s">
        <v>22</v>
      </c>
      <c r="E169" s="10">
        <f t="shared" si="50"/>
        <v>0</v>
      </c>
      <c r="I169" s="27"/>
      <c r="M169" s="27"/>
      <c r="N169" s="28"/>
      <c r="Q169" s="27"/>
      <c r="T169" s="27"/>
      <c r="W169" s="27"/>
      <c r="Z169" s="27"/>
      <c r="AA169" s="25"/>
      <c r="AB169" s="25"/>
      <c r="AC169" s="27"/>
      <c r="AD169" s="25"/>
      <c r="AE169" s="25"/>
      <c r="AF169" s="27"/>
      <c r="AI169" s="27"/>
      <c r="AJ169" t="s">
        <v>195</v>
      </c>
      <c r="AK169" t="s">
        <v>92</v>
      </c>
      <c r="AL169" s="27">
        <f>1000/IF(ISNUMBER('Yhtiökohtaiset arvot'!D7),'Yhtiökohtaiset arvot'!D7,'Yhtiökohtaiset arvot'!B7)*34.13+'Yhtiökohtaiset arvot'!D21*IF('Yhtiökohtaiset arvot'!$H$7&gt;0,'Yhtiökohtaiset arvot'!$H$7,'Yhtiökohtaiset arvot'!$F$7)</f>
        <v>705.52728124999999</v>
      </c>
      <c r="AO169" s="27"/>
    </row>
    <row r="170" spans="1:41" x14ac:dyDescent="0.2">
      <c r="A170" s="6">
        <v>179</v>
      </c>
      <c r="B170" s="7" t="s">
        <v>143</v>
      </c>
      <c r="C170" s="8">
        <f t="shared" si="49"/>
        <v>1763.8182031250003</v>
      </c>
      <c r="D170" s="9" t="s">
        <v>22</v>
      </c>
      <c r="E170" s="10">
        <f t="shared" si="50"/>
        <v>0</v>
      </c>
      <c r="I170" s="27"/>
      <c r="M170" s="27"/>
      <c r="N170" s="28"/>
      <c r="Q170" s="27"/>
      <c r="T170" s="27"/>
      <c r="W170" s="27"/>
      <c r="Z170" s="27"/>
      <c r="AA170" s="25"/>
      <c r="AB170" s="25"/>
      <c r="AC170" s="27"/>
      <c r="AD170" s="25"/>
      <c r="AE170" s="25"/>
      <c r="AF170" s="27"/>
      <c r="AI170" s="27"/>
      <c r="AJ170" t="s">
        <v>195</v>
      </c>
      <c r="AK170" t="s">
        <v>92</v>
      </c>
      <c r="AL170" s="27">
        <f>1000/IF(ISNUMBER('Yhtiökohtaiset arvot'!D8),'Yhtiökohtaiset arvot'!D8,'Yhtiökohtaiset arvot'!B8)*34.13+'Yhtiökohtaiset arvot'!D21*IF('Yhtiökohtaiset arvot'!$H$8&gt;0,'Yhtiökohtaiset arvot'!$H$8,'Yhtiökohtaiset arvot'!$F$8)</f>
        <v>1763.8182031250003</v>
      </c>
      <c r="AO170" s="27"/>
    </row>
    <row r="171" spans="1:41" x14ac:dyDescent="0.2">
      <c r="A171" s="6"/>
      <c r="B171" s="7" t="s">
        <v>198</v>
      </c>
      <c r="C171" s="8">
        <f t="shared" si="49"/>
        <v>6.1687500000000011</v>
      </c>
      <c r="D171" s="9" t="s">
        <v>199</v>
      </c>
      <c r="E171" s="10">
        <f t="shared" si="50"/>
        <v>0</v>
      </c>
      <c r="I171" s="27"/>
      <c r="M171" s="27"/>
      <c r="N171" s="28"/>
      <c r="Q171" s="27"/>
      <c r="T171" s="27"/>
      <c r="W171" s="27"/>
      <c r="Z171" s="27"/>
      <c r="AA171" s="25"/>
      <c r="AB171" s="25"/>
      <c r="AC171" s="27"/>
      <c r="AD171" s="25"/>
      <c r="AE171" s="25"/>
      <c r="AF171" s="27"/>
      <c r="AI171" s="27"/>
      <c r="AJ171" t="s">
        <v>198</v>
      </c>
      <c r="AK171" t="s">
        <v>25</v>
      </c>
      <c r="AL171" s="27">
        <v>6.1687500000000011</v>
      </c>
      <c r="AO171" s="27"/>
    </row>
    <row r="172" spans="1:41" x14ac:dyDescent="0.2">
      <c r="A172" s="6">
        <v>180</v>
      </c>
      <c r="B172" s="196" t="s">
        <v>853</v>
      </c>
      <c r="C172" s="197">
        <f t="shared" si="49"/>
        <v>0</v>
      </c>
      <c r="D172" s="198" t="s">
        <v>22</v>
      </c>
      <c r="E172" s="199">
        <f t="shared" si="50"/>
        <v>0</v>
      </c>
      <c r="I172" s="27"/>
      <c r="M172" s="27"/>
      <c r="N172" s="28"/>
      <c r="Q172" s="27"/>
      <c r="T172" s="27"/>
      <c r="W172" s="27"/>
      <c r="Z172" s="27"/>
      <c r="AA172" s="25"/>
      <c r="AB172" s="25"/>
      <c r="AC172" s="27"/>
      <c r="AD172" s="25"/>
      <c r="AE172" s="25"/>
      <c r="AF172" s="27"/>
      <c r="AI172" s="27"/>
      <c r="AL172" s="27"/>
      <c r="AO172" s="27"/>
    </row>
    <row r="173" spans="1:41" x14ac:dyDescent="0.2">
      <c r="A173" s="6">
        <v>181</v>
      </c>
      <c r="B173" s="7" t="s">
        <v>144</v>
      </c>
      <c r="C173" s="8">
        <f t="shared" si="49"/>
        <v>575.4</v>
      </c>
      <c r="D173" s="9" t="s">
        <v>22</v>
      </c>
      <c r="E173" s="10">
        <f t="shared" si="50"/>
        <v>575.4</v>
      </c>
      <c r="F173" t="s">
        <v>145</v>
      </c>
      <c r="G173" t="s">
        <v>25</v>
      </c>
      <c r="I173" s="27">
        <v>575.4</v>
      </c>
      <c r="M173" s="27"/>
      <c r="Q173" s="27"/>
      <c r="T173" s="27"/>
      <c r="W173" s="27"/>
      <c r="Z173" s="27"/>
      <c r="AA173" s="25"/>
      <c r="AB173" s="25"/>
      <c r="AC173" s="27"/>
      <c r="AD173" s="25"/>
      <c r="AE173" s="25"/>
      <c r="AF173" s="27"/>
      <c r="AI173" s="27"/>
      <c r="AL173" s="27"/>
      <c r="AO173" s="27"/>
    </row>
    <row r="174" spans="1:41" x14ac:dyDescent="0.2">
      <c r="A174" s="6">
        <v>182</v>
      </c>
      <c r="B174" s="7" t="s">
        <v>146</v>
      </c>
      <c r="C174" s="8">
        <f t="shared" si="49"/>
        <v>940.80000000000007</v>
      </c>
      <c r="D174" s="9" t="s">
        <v>22</v>
      </c>
      <c r="E174" s="10">
        <f t="shared" si="50"/>
        <v>940.80000000000007</v>
      </c>
      <c r="F174" t="s">
        <v>145</v>
      </c>
      <c r="G174" t="s">
        <v>25</v>
      </c>
      <c r="I174" s="27">
        <v>940.80000000000007</v>
      </c>
      <c r="M174" s="27"/>
      <c r="Q174" s="27"/>
      <c r="T174" s="27"/>
      <c r="W174" s="27"/>
      <c r="Z174" s="27"/>
      <c r="AA174" s="25"/>
      <c r="AB174" s="25"/>
      <c r="AC174" s="27"/>
      <c r="AD174" s="25"/>
      <c r="AE174" s="25"/>
      <c r="AF174" s="27"/>
      <c r="AI174" s="27"/>
      <c r="AL174" s="27"/>
      <c r="AO174" s="27"/>
    </row>
    <row r="175" spans="1:41" x14ac:dyDescent="0.2">
      <c r="A175" s="6">
        <v>183</v>
      </c>
      <c r="B175" s="7" t="s">
        <v>147</v>
      </c>
      <c r="C175" s="8">
        <f t="shared" si="49"/>
        <v>1318.8</v>
      </c>
      <c r="D175" s="9" t="s">
        <v>22</v>
      </c>
      <c r="E175" s="10">
        <f t="shared" si="50"/>
        <v>1318.8</v>
      </c>
      <c r="F175" t="s">
        <v>145</v>
      </c>
      <c r="G175" t="s">
        <v>25</v>
      </c>
      <c r="I175" s="27">
        <v>1318.8</v>
      </c>
      <c r="M175" s="27"/>
      <c r="Q175" s="27"/>
      <c r="T175" s="27"/>
      <c r="W175" s="27"/>
      <c r="Z175" s="27"/>
      <c r="AA175" s="25"/>
      <c r="AB175" s="25"/>
      <c r="AC175" s="27"/>
      <c r="AD175" s="25"/>
      <c r="AE175" s="25"/>
      <c r="AF175" s="27"/>
      <c r="AI175" s="27"/>
      <c r="AL175" s="27"/>
      <c r="AO175" s="27"/>
    </row>
    <row r="176" spans="1:41" x14ac:dyDescent="0.2">
      <c r="A176" s="6">
        <v>184</v>
      </c>
      <c r="B176" s="7" t="s">
        <v>148</v>
      </c>
      <c r="C176" s="8">
        <f t="shared" si="49"/>
        <v>1776.6000000000001</v>
      </c>
      <c r="D176" s="9" t="s">
        <v>22</v>
      </c>
      <c r="E176" s="10">
        <f t="shared" si="50"/>
        <v>1776.6000000000001</v>
      </c>
      <c r="F176" t="s">
        <v>145</v>
      </c>
      <c r="G176" t="s">
        <v>25</v>
      </c>
      <c r="I176" s="27">
        <v>1776.6000000000001</v>
      </c>
      <c r="M176" s="27"/>
      <c r="Q176" s="27"/>
      <c r="T176" s="27"/>
      <c r="W176" s="27"/>
      <c r="Z176" s="27"/>
      <c r="AA176" s="25"/>
      <c r="AB176" s="25"/>
      <c r="AC176" s="27"/>
      <c r="AD176" s="25"/>
      <c r="AE176" s="25"/>
      <c r="AF176" s="27"/>
      <c r="AI176" s="27"/>
      <c r="AL176" s="27"/>
      <c r="AO176" s="27"/>
    </row>
    <row r="177" spans="1:41" x14ac:dyDescent="0.2">
      <c r="A177" s="6">
        <v>185</v>
      </c>
      <c r="B177" s="7" t="s">
        <v>149</v>
      </c>
      <c r="C177" s="8">
        <f t="shared" si="49"/>
        <v>2574.6</v>
      </c>
      <c r="D177" s="9" t="s">
        <v>22</v>
      </c>
      <c r="E177" s="10">
        <f t="shared" si="50"/>
        <v>2574.6</v>
      </c>
      <c r="F177" t="s">
        <v>145</v>
      </c>
      <c r="G177" t="s">
        <v>25</v>
      </c>
      <c r="I177" s="27">
        <v>2574.6</v>
      </c>
      <c r="M177" s="27"/>
      <c r="Q177" s="27"/>
      <c r="T177" s="27"/>
      <c r="W177" s="27"/>
      <c r="Z177" s="27"/>
      <c r="AA177" s="25"/>
      <c r="AB177" s="25"/>
      <c r="AC177" s="27"/>
      <c r="AD177" s="25"/>
      <c r="AE177" s="25"/>
      <c r="AF177" s="27"/>
      <c r="AI177" s="27"/>
      <c r="AL177" s="27"/>
      <c r="AO177" s="27"/>
    </row>
    <row r="178" spans="1:41" x14ac:dyDescent="0.2">
      <c r="A178" s="6">
        <v>186</v>
      </c>
      <c r="B178" s="7" t="s">
        <v>150</v>
      </c>
      <c r="C178" s="8">
        <f t="shared" si="49"/>
        <v>3603.6000000000004</v>
      </c>
      <c r="D178" s="9" t="s">
        <v>22</v>
      </c>
      <c r="E178" s="10">
        <f t="shared" si="50"/>
        <v>3603.6000000000004</v>
      </c>
      <c r="F178" t="s">
        <v>145</v>
      </c>
      <c r="G178" t="s">
        <v>25</v>
      </c>
      <c r="I178" s="27">
        <v>3603.6000000000004</v>
      </c>
      <c r="M178" s="27"/>
      <c r="Q178" s="27"/>
      <c r="T178" s="27"/>
      <c r="W178" s="27"/>
      <c r="Z178" s="27"/>
      <c r="AA178" s="25"/>
      <c r="AB178" s="25"/>
      <c r="AC178" s="27"/>
      <c r="AD178" s="25"/>
      <c r="AE178" s="25"/>
      <c r="AF178" s="27"/>
      <c r="AI178" s="9"/>
      <c r="AL178" s="27"/>
      <c r="AO178" s="27"/>
    </row>
    <row r="179" spans="1:41" x14ac:dyDescent="0.2">
      <c r="A179" s="6">
        <v>187</v>
      </c>
      <c r="B179" s="7" t="s">
        <v>151</v>
      </c>
      <c r="C179" s="8">
        <f t="shared" si="49"/>
        <v>1117.2030527166667</v>
      </c>
      <c r="D179" s="9" t="s">
        <v>33</v>
      </c>
      <c r="E179" s="10">
        <f t="shared" si="50"/>
        <v>1078.3308166666666</v>
      </c>
      <c r="F179" t="s">
        <v>76</v>
      </c>
      <c r="G179" t="s">
        <v>24</v>
      </c>
      <c r="I179" s="27">
        <v>949.58299999999997</v>
      </c>
      <c r="M179" s="27"/>
      <c r="N179" t="s">
        <v>36</v>
      </c>
      <c r="O179" t="s">
        <v>25</v>
      </c>
      <c r="Q179" s="27">
        <v>61.831149999999994</v>
      </c>
      <c r="R179" t="s">
        <v>77</v>
      </c>
      <c r="S179" t="s">
        <v>25</v>
      </c>
      <c r="T179" s="27">
        <v>66.916666666666671</v>
      </c>
      <c r="W179" s="27"/>
      <c r="Z179" s="27"/>
      <c r="AA179" s="25"/>
      <c r="AB179" s="25"/>
      <c r="AC179" s="27"/>
      <c r="AD179" s="25"/>
      <c r="AE179" s="25"/>
      <c r="AF179" s="27"/>
      <c r="AH179" t="s">
        <v>25</v>
      </c>
      <c r="AI179" s="27">
        <f>'Yhtiökohtaiset arvot'!D20/(8/4)</f>
        <v>4.5854562499999991</v>
      </c>
      <c r="AL179" s="27"/>
      <c r="AM179" t="s">
        <v>745</v>
      </c>
      <c r="AO179" s="27">
        <f>(4200*0.51)/1000*IF(ISNUMBER('Yhtiökohtaiset arvot'!D25),'Yhtiökohtaiset arvot'!D25,'Yhtiökohtaiset arvot'!B25)*IF(ISNUMBER('Yhtiökohtaiset arvot'!D26),'Yhtiökohtaiset arvot'!D26,'Yhtiökohtaiset arvot'!B26)/1000</f>
        <v>34.286779800000005</v>
      </c>
    </row>
    <row r="180" spans="1:41" x14ac:dyDescent="0.2">
      <c r="A180" s="6">
        <v>188</v>
      </c>
      <c r="B180" s="7" t="s">
        <v>152</v>
      </c>
      <c r="C180" s="8">
        <f t="shared" si="49"/>
        <v>2582.1015862499994</v>
      </c>
      <c r="D180" s="9" t="s">
        <v>33</v>
      </c>
      <c r="E180" s="10">
        <f t="shared" si="50"/>
        <v>2510.2871499999997</v>
      </c>
      <c r="F180" t="s">
        <v>76</v>
      </c>
      <c r="G180" t="s">
        <v>24</v>
      </c>
      <c r="I180" s="27">
        <v>1849.2660000000001</v>
      </c>
      <c r="J180" t="s">
        <v>153</v>
      </c>
      <c r="K180" t="s">
        <v>25</v>
      </c>
      <c r="M180" s="27">
        <f>1*532.273333333333</f>
        <v>532.27333333333297</v>
      </c>
      <c r="N180" t="s">
        <v>36</v>
      </c>
      <c r="O180" t="s">
        <v>25</v>
      </c>
      <c r="Q180" s="27">
        <v>61.831149999999994</v>
      </c>
      <c r="R180" t="s">
        <v>77</v>
      </c>
      <c r="S180" t="s">
        <v>25</v>
      </c>
      <c r="T180" s="27">
        <v>66.916666666666671</v>
      </c>
      <c r="W180" s="27"/>
      <c r="Z180" s="27"/>
      <c r="AA180" s="25"/>
      <c r="AB180" s="25"/>
      <c r="AC180" s="27"/>
      <c r="AD180" s="25"/>
      <c r="AE180" s="25"/>
      <c r="AF180" s="27"/>
      <c r="AH180" t="s">
        <v>25</v>
      </c>
      <c r="AI180" s="27">
        <f>'Yhtiökohtaiset arvot'!D20/(8/4)</f>
        <v>4.5854562499999991</v>
      </c>
      <c r="AL180" s="27"/>
      <c r="AM180" t="s">
        <v>739</v>
      </c>
      <c r="AO180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81" spans="1:41" x14ac:dyDescent="0.2">
      <c r="A181" s="6">
        <v>189</v>
      </c>
      <c r="B181" s="7" t="s">
        <v>154</v>
      </c>
      <c r="C181" s="8">
        <f t="shared" si="49"/>
        <v>3114.374919583332</v>
      </c>
      <c r="D181" s="9" t="s">
        <v>33</v>
      </c>
      <c r="E181" s="10">
        <f t="shared" si="50"/>
        <v>3042.5604833333323</v>
      </c>
      <c r="F181" t="s">
        <v>76</v>
      </c>
      <c r="G181" t="s">
        <v>24</v>
      </c>
      <c r="I181" s="27">
        <v>1849.2660000000001</v>
      </c>
      <c r="J181" t="s">
        <v>153</v>
      </c>
      <c r="K181" t="s">
        <v>25</v>
      </c>
      <c r="M181" s="27">
        <f>2*532.273333333333</f>
        <v>1064.5466666666659</v>
      </c>
      <c r="N181" t="s">
        <v>36</v>
      </c>
      <c r="O181" t="s">
        <v>25</v>
      </c>
      <c r="Q181" s="27">
        <v>61.831149999999994</v>
      </c>
      <c r="R181" t="s">
        <v>77</v>
      </c>
      <c r="S181" t="s">
        <v>25</v>
      </c>
      <c r="T181" s="27">
        <v>66.916666666666671</v>
      </c>
      <c r="W181" s="27"/>
      <c r="Z181" s="27"/>
      <c r="AA181" s="25"/>
      <c r="AB181" s="25"/>
      <c r="AC181" s="27"/>
      <c r="AD181" s="25"/>
      <c r="AE181" s="25"/>
      <c r="AF181" s="27"/>
      <c r="AH181" t="s">
        <v>25</v>
      </c>
      <c r="AI181" s="27">
        <f>'Yhtiökohtaiset arvot'!D20/(8/4)</f>
        <v>4.5854562499999991</v>
      </c>
      <c r="AL181" s="27"/>
      <c r="AM181" t="s">
        <v>739</v>
      </c>
      <c r="AO181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82" spans="1:41" x14ac:dyDescent="0.2">
      <c r="A182" s="6">
        <v>190</v>
      </c>
      <c r="B182" s="7" t="s">
        <v>155</v>
      </c>
      <c r="C182" s="8">
        <f t="shared" si="49"/>
        <v>3646.6482529166651</v>
      </c>
      <c r="D182" s="9" t="s">
        <v>33</v>
      </c>
      <c r="E182" s="10">
        <f t="shared" si="50"/>
        <v>3574.8338166666654</v>
      </c>
      <c r="F182" t="s">
        <v>76</v>
      </c>
      <c r="G182" t="s">
        <v>24</v>
      </c>
      <c r="I182" s="27">
        <v>1849.2660000000001</v>
      </c>
      <c r="J182" t="s">
        <v>153</v>
      </c>
      <c r="K182" t="s">
        <v>25</v>
      </c>
      <c r="M182" s="27">
        <f>3*532.273333333333</f>
        <v>1596.8199999999988</v>
      </c>
      <c r="N182" t="s">
        <v>36</v>
      </c>
      <c r="O182" t="s">
        <v>25</v>
      </c>
      <c r="Q182" s="27">
        <v>61.831149999999994</v>
      </c>
      <c r="R182" t="s">
        <v>77</v>
      </c>
      <c r="S182" t="s">
        <v>25</v>
      </c>
      <c r="T182" s="27">
        <v>66.916666666666671</v>
      </c>
      <c r="W182" s="27"/>
      <c r="Z182" s="27"/>
      <c r="AA182" s="25"/>
      <c r="AB182" s="25"/>
      <c r="AC182" s="27"/>
      <c r="AD182" s="25"/>
      <c r="AE182" s="25"/>
      <c r="AF182" s="27"/>
      <c r="AH182" t="s">
        <v>25</v>
      </c>
      <c r="AI182" s="27">
        <f>'Yhtiökohtaiset arvot'!D20/(8/4)</f>
        <v>4.5854562499999991</v>
      </c>
      <c r="AL182" s="27"/>
      <c r="AM182" t="s">
        <v>739</v>
      </c>
      <c r="AO182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83" spans="1:41" x14ac:dyDescent="0.2">
      <c r="A183" s="6">
        <v>191</v>
      </c>
      <c r="B183" s="7" t="s">
        <v>156</v>
      </c>
      <c r="C183" s="8">
        <f t="shared" si="49"/>
        <v>5809.2812192499987</v>
      </c>
      <c r="D183" s="9" t="s">
        <v>33</v>
      </c>
      <c r="E183" s="10">
        <f t="shared" si="50"/>
        <v>5680.3221499999991</v>
      </c>
      <c r="F183" t="s">
        <v>76</v>
      </c>
      <c r="G183" t="s">
        <v>24</v>
      </c>
      <c r="I183" s="27">
        <v>3422.4810000000002</v>
      </c>
      <c r="J183" t="s">
        <v>153</v>
      </c>
      <c r="K183" t="s">
        <v>25</v>
      </c>
      <c r="M183" s="27">
        <f>4*532.273333333333</f>
        <v>2129.0933333333319</v>
      </c>
      <c r="N183" t="s">
        <v>36</v>
      </c>
      <c r="O183" t="s">
        <v>25</v>
      </c>
      <c r="Q183" s="27">
        <v>61.831149999999994</v>
      </c>
      <c r="R183" t="s">
        <v>77</v>
      </c>
      <c r="S183" t="s">
        <v>25</v>
      </c>
      <c r="T183" s="27">
        <v>66.916666666666671</v>
      </c>
      <c r="W183" s="27"/>
      <c r="Z183" s="27"/>
      <c r="AA183" s="25"/>
      <c r="AB183" s="25"/>
      <c r="AC183" s="27"/>
      <c r="AD183" s="25"/>
      <c r="AE183" s="25"/>
      <c r="AF183" s="27"/>
      <c r="AH183" t="s">
        <v>25</v>
      </c>
      <c r="AI183" s="27">
        <f>'Yhtiökohtaiset arvot'!D20/(8/4)</f>
        <v>4.5854562499999991</v>
      </c>
      <c r="AL183" s="27"/>
      <c r="AM183" t="s">
        <v>743</v>
      </c>
      <c r="AO183" s="27">
        <f>(4200*1.85)/1000*IF(ISNUMBER('Yhtiökohtaiset arvot'!D25),'Yhtiökohtaiset arvot'!D25,'Yhtiökohtaiset arvot'!B25)*IF(ISNUMBER('Yhtiökohtaiset arvot'!D26),'Yhtiökohtaiset arvot'!D26,'Yhtiökohtaiset arvot'!B26)/1000</f>
        <v>124.37361300000001</v>
      </c>
    </row>
    <row r="184" spans="1:41" x14ac:dyDescent="0.2">
      <c r="A184" s="6">
        <v>192</v>
      </c>
      <c r="B184" s="196" t="s">
        <v>854</v>
      </c>
      <c r="C184" s="197">
        <f t="shared" ref="C184:C188" si="51">SUM(I184,M184,Q184,T184,W184,Z184,AC184,AF184,AI184,AL184,AO184)</f>
        <v>0</v>
      </c>
      <c r="D184" s="198" t="s">
        <v>33</v>
      </c>
      <c r="E184" s="199">
        <f t="shared" ref="E184:E188" si="52">SUM(I184,M184,Q184,T184,W184,Z184,AC184,AF184)</f>
        <v>0</v>
      </c>
      <c r="I184" s="27"/>
      <c r="M184" s="27"/>
      <c r="Q184" s="27"/>
      <c r="T184" s="27"/>
      <c r="W184" s="27"/>
      <c r="Z184" s="27"/>
      <c r="AA184" s="25"/>
      <c r="AB184" s="25"/>
      <c r="AC184" s="27"/>
      <c r="AD184" s="25"/>
      <c r="AE184" s="25"/>
      <c r="AF184" s="27"/>
      <c r="AI184" s="27"/>
      <c r="AL184" s="27"/>
      <c r="AO184" s="27"/>
    </row>
    <row r="185" spans="1:41" x14ac:dyDescent="0.2">
      <c r="A185" s="6">
        <v>193</v>
      </c>
      <c r="B185" s="196" t="s">
        <v>855</v>
      </c>
      <c r="C185" s="197">
        <f t="shared" si="51"/>
        <v>0</v>
      </c>
      <c r="D185" s="198" t="s">
        <v>33</v>
      </c>
      <c r="E185" s="199">
        <f t="shared" si="52"/>
        <v>0</v>
      </c>
      <c r="I185" s="27"/>
      <c r="M185" s="27"/>
      <c r="Q185" s="27"/>
      <c r="T185" s="27"/>
      <c r="W185" s="27"/>
      <c r="Z185" s="27"/>
      <c r="AA185" s="25"/>
      <c r="AB185" s="25"/>
      <c r="AC185" s="27"/>
      <c r="AD185" s="25"/>
      <c r="AE185" s="25"/>
      <c r="AF185" s="27"/>
      <c r="AI185" s="27"/>
      <c r="AL185" s="27"/>
      <c r="AO185" s="27"/>
    </row>
    <row r="186" spans="1:41" x14ac:dyDescent="0.2">
      <c r="A186" s="6">
        <v>194</v>
      </c>
      <c r="B186" s="196" t="s">
        <v>856</v>
      </c>
      <c r="C186" s="197">
        <f t="shared" si="51"/>
        <v>0</v>
      </c>
      <c r="D186" s="198" t="s">
        <v>33</v>
      </c>
      <c r="E186" s="199">
        <f t="shared" si="52"/>
        <v>0</v>
      </c>
      <c r="I186" s="27"/>
      <c r="M186" s="27"/>
      <c r="Q186" s="27"/>
      <c r="T186" s="27"/>
      <c r="W186" s="27"/>
      <c r="Z186" s="27"/>
      <c r="AA186" s="25"/>
      <c r="AB186" s="25"/>
      <c r="AC186" s="27"/>
      <c r="AD186" s="25"/>
      <c r="AE186" s="25"/>
      <c r="AF186" s="27"/>
      <c r="AI186" s="27"/>
      <c r="AL186" s="27"/>
      <c r="AO186" s="27"/>
    </row>
    <row r="187" spans="1:41" x14ac:dyDescent="0.2">
      <c r="A187" s="6">
        <v>195</v>
      </c>
      <c r="B187" s="196" t="s">
        <v>857</v>
      </c>
      <c r="C187" s="197">
        <f t="shared" si="51"/>
        <v>0</v>
      </c>
      <c r="D187" s="198" t="s">
        <v>33</v>
      </c>
      <c r="E187" s="199">
        <f t="shared" si="52"/>
        <v>0</v>
      </c>
      <c r="I187" s="27"/>
      <c r="M187" s="27"/>
      <c r="Q187" s="27"/>
      <c r="T187" s="27"/>
      <c r="W187" s="27"/>
      <c r="Z187" s="27"/>
      <c r="AA187" s="25"/>
      <c r="AB187" s="25"/>
      <c r="AC187" s="27"/>
      <c r="AD187" s="25"/>
      <c r="AE187" s="25"/>
      <c r="AF187" s="27"/>
      <c r="AI187" s="27"/>
      <c r="AL187" s="27"/>
      <c r="AO187" s="27"/>
    </row>
    <row r="188" spans="1:41" x14ac:dyDescent="0.2">
      <c r="A188" s="6">
        <v>196</v>
      </c>
      <c r="B188" s="196" t="s">
        <v>858</v>
      </c>
      <c r="C188" s="197">
        <f t="shared" si="51"/>
        <v>0</v>
      </c>
      <c r="D188" s="198" t="s">
        <v>33</v>
      </c>
      <c r="E188" s="199">
        <f t="shared" si="52"/>
        <v>0</v>
      </c>
      <c r="I188" s="27"/>
      <c r="M188" s="27"/>
      <c r="Q188" s="27"/>
      <c r="T188" s="27"/>
      <c r="W188" s="27"/>
      <c r="Z188" s="27"/>
      <c r="AA188" s="25"/>
      <c r="AB188" s="25"/>
      <c r="AC188" s="27"/>
      <c r="AD188" s="25"/>
      <c r="AE188" s="25"/>
      <c r="AF188" s="27"/>
      <c r="AI188" s="27"/>
      <c r="AL188" s="27"/>
      <c r="AO188" s="27"/>
    </row>
    <row r="189" spans="1:41" x14ac:dyDescent="0.2">
      <c r="A189" s="6">
        <v>197</v>
      </c>
      <c r="B189" s="7" t="s">
        <v>157</v>
      </c>
      <c r="C189" s="8">
        <f t="shared" si="49"/>
        <v>2582.1015862499994</v>
      </c>
      <c r="D189" s="9" t="s">
        <v>33</v>
      </c>
      <c r="E189" s="10">
        <f t="shared" si="50"/>
        <v>2510.2871499999997</v>
      </c>
      <c r="F189" t="s">
        <v>76</v>
      </c>
      <c r="G189" t="s">
        <v>24</v>
      </c>
      <c r="I189" s="27">
        <v>1849.2660000000001</v>
      </c>
      <c r="J189" t="s">
        <v>153</v>
      </c>
      <c r="K189" t="s">
        <v>25</v>
      </c>
      <c r="M189" s="27">
        <f>1*532.273333333333</f>
        <v>532.27333333333297</v>
      </c>
      <c r="N189" t="s">
        <v>36</v>
      </c>
      <c r="O189" t="s">
        <v>25</v>
      </c>
      <c r="Q189" s="27">
        <v>61.831149999999994</v>
      </c>
      <c r="R189" t="s">
        <v>77</v>
      </c>
      <c r="S189" t="s">
        <v>25</v>
      </c>
      <c r="T189" s="27">
        <v>66.916666666666671</v>
      </c>
      <c r="W189" s="27"/>
      <c r="Z189" s="27"/>
      <c r="AA189" s="25"/>
      <c r="AB189" s="25"/>
      <c r="AC189" s="27"/>
      <c r="AD189" s="25"/>
      <c r="AE189" s="25"/>
      <c r="AF189" s="27"/>
      <c r="AH189" t="s">
        <v>25</v>
      </c>
      <c r="AI189" s="27">
        <f>'Yhtiökohtaiset arvot'!D20/(8/4)</f>
        <v>4.5854562499999991</v>
      </c>
      <c r="AL189" s="27"/>
      <c r="AM189" t="s">
        <v>739</v>
      </c>
      <c r="AO189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90" spans="1:41" x14ac:dyDescent="0.2">
      <c r="A190" s="6">
        <v>198</v>
      </c>
      <c r="B190" s="7" t="s">
        <v>158</v>
      </c>
      <c r="C190" s="8">
        <f t="shared" si="49"/>
        <v>3114.374919583332</v>
      </c>
      <c r="D190" s="9" t="s">
        <v>33</v>
      </c>
      <c r="E190" s="10">
        <f t="shared" si="50"/>
        <v>3042.5604833333323</v>
      </c>
      <c r="F190" t="s">
        <v>76</v>
      </c>
      <c r="G190" t="s">
        <v>24</v>
      </c>
      <c r="I190" s="27">
        <v>1849.2660000000001</v>
      </c>
      <c r="J190" t="s">
        <v>153</v>
      </c>
      <c r="K190" t="s">
        <v>25</v>
      </c>
      <c r="M190" s="27">
        <f>2*532.273333333333</f>
        <v>1064.5466666666659</v>
      </c>
      <c r="N190" t="s">
        <v>36</v>
      </c>
      <c r="O190" t="s">
        <v>25</v>
      </c>
      <c r="Q190" s="27">
        <v>61.831149999999994</v>
      </c>
      <c r="R190" t="s">
        <v>77</v>
      </c>
      <c r="S190" t="s">
        <v>25</v>
      </c>
      <c r="T190" s="27">
        <v>66.916666666666671</v>
      </c>
      <c r="W190" s="27"/>
      <c r="Z190" s="27"/>
      <c r="AA190" s="25"/>
      <c r="AB190" s="25"/>
      <c r="AC190" s="27"/>
      <c r="AD190" s="25"/>
      <c r="AE190" s="25"/>
      <c r="AF190" s="27"/>
      <c r="AH190" t="s">
        <v>25</v>
      </c>
      <c r="AI190" s="27">
        <f>'Yhtiökohtaiset arvot'!D20/(8/4)</f>
        <v>4.5854562499999991</v>
      </c>
      <c r="AL190" s="27"/>
      <c r="AM190" t="s">
        <v>739</v>
      </c>
      <c r="AO190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91" spans="1:41" x14ac:dyDescent="0.2">
      <c r="A191" s="6">
        <v>199</v>
      </c>
      <c r="B191" s="7" t="s">
        <v>159</v>
      </c>
      <c r="C191" s="8">
        <f t="shared" si="49"/>
        <v>3646.6482529166651</v>
      </c>
      <c r="D191" s="9" t="s">
        <v>33</v>
      </c>
      <c r="E191" s="10">
        <f t="shared" si="50"/>
        <v>3574.8338166666654</v>
      </c>
      <c r="F191" t="s">
        <v>76</v>
      </c>
      <c r="G191" t="s">
        <v>24</v>
      </c>
      <c r="I191" s="27">
        <v>1849.2660000000001</v>
      </c>
      <c r="J191" t="s">
        <v>153</v>
      </c>
      <c r="K191" t="s">
        <v>25</v>
      </c>
      <c r="M191" s="27">
        <f>3*532.273333333333</f>
        <v>1596.8199999999988</v>
      </c>
      <c r="N191" t="s">
        <v>36</v>
      </c>
      <c r="O191" t="s">
        <v>25</v>
      </c>
      <c r="Q191" s="27">
        <v>61.831149999999994</v>
      </c>
      <c r="R191" t="s">
        <v>77</v>
      </c>
      <c r="S191" t="s">
        <v>25</v>
      </c>
      <c r="T191" s="27">
        <v>66.916666666666671</v>
      </c>
      <c r="W191" s="27"/>
      <c r="Z191" s="27"/>
      <c r="AA191" s="25"/>
      <c r="AB191" s="25"/>
      <c r="AC191" s="27"/>
      <c r="AD191" s="25"/>
      <c r="AE191" s="25"/>
      <c r="AF191" s="27"/>
      <c r="AH191" t="s">
        <v>25</v>
      </c>
      <c r="AI191" s="27">
        <f>'Yhtiökohtaiset arvot'!D20/(8/4)</f>
        <v>4.5854562499999991</v>
      </c>
      <c r="AL191" s="27"/>
      <c r="AM191" t="s">
        <v>739</v>
      </c>
      <c r="AO191" s="27">
        <f>4200/1000*IF(ISNUMBER('Yhtiökohtaiset arvot'!D25),'Yhtiökohtaiset arvot'!D25,'Yhtiökohtaiset arvot'!B25)*IF(ISNUMBER('Yhtiökohtaiset arvot'!D26),'Yhtiökohtaiset arvot'!D26,'Yhtiökohtaiset arvot'!B26)/1000</f>
        <v>67.228980000000007</v>
      </c>
    </row>
    <row r="192" spans="1:41" x14ac:dyDescent="0.2">
      <c r="A192" s="6">
        <v>200</v>
      </c>
      <c r="B192" s="7" t="s">
        <v>160</v>
      </c>
      <c r="C192" s="8">
        <f t="shared" si="49"/>
        <v>5809.2812192499987</v>
      </c>
      <c r="D192" s="9" t="s">
        <v>33</v>
      </c>
      <c r="E192" s="10">
        <f t="shared" si="50"/>
        <v>5680.3221499999991</v>
      </c>
      <c r="F192" t="s">
        <v>76</v>
      </c>
      <c r="G192" t="s">
        <v>24</v>
      </c>
      <c r="I192" s="27">
        <v>3422.4810000000002</v>
      </c>
      <c r="J192" t="s">
        <v>153</v>
      </c>
      <c r="K192" t="s">
        <v>25</v>
      </c>
      <c r="M192" s="27">
        <f>4*532.273333333333</f>
        <v>2129.0933333333319</v>
      </c>
      <c r="N192" t="s">
        <v>36</v>
      </c>
      <c r="O192" t="s">
        <v>25</v>
      </c>
      <c r="Q192" s="27">
        <v>61.831149999999994</v>
      </c>
      <c r="R192" t="s">
        <v>77</v>
      </c>
      <c r="S192" t="s">
        <v>25</v>
      </c>
      <c r="T192" s="27">
        <v>66.916666666666671</v>
      </c>
      <c r="W192" s="27"/>
      <c r="Z192" s="27"/>
      <c r="AA192" s="25"/>
      <c r="AB192" s="25"/>
      <c r="AC192" s="27"/>
      <c r="AD192" s="25"/>
      <c r="AE192" s="25"/>
      <c r="AF192" s="27"/>
      <c r="AH192" t="s">
        <v>25</v>
      </c>
      <c r="AI192" s="27">
        <f>'Yhtiökohtaiset arvot'!D20/(8/4)</f>
        <v>4.5854562499999991</v>
      </c>
      <c r="AL192" s="27"/>
      <c r="AM192" t="s">
        <v>743</v>
      </c>
      <c r="AO192" s="27">
        <f>(4200*1.85)/1000*IF(ISNUMBER('Yhtiökohtaiset arvot'!D25),'Yhtiökohtaiset arvot'!D25,'Yhtiökohtaiset arvot'!B25)*IF(ISNUMBER('Yhtiökohtaiset arvot'!D26),'Yhtiökohtaiset arvot'!D26,'Yhtiökohtaiset arvot'!B26)/1000</f>
        <v>124.37361300000001</v>
      </c>
    </row>
    <row r="193" spans="1:41" x14ac:dyDescent="0.2">
      <c r="A193" s="6">
        <v>201</v>
      </c>
      <c r="B193" s="7" t="s">
        <v>161</v>
      </c>
      <c r="C193" s="8">
        <f t="shared" si="49"/>
        <v>6341.5545525833313</v>
      </c>
      <c r="D193" s="9" t="s">
        <v>33</v>
      </c>
      <c r="E193" s="10">
        <f t="shared" si="50"/>
        <v>6212.5954833333317</v>
      </c>
      <c r="F193" t="s">
        <v>76</v>
      </c>
      <c r="G193" t="s">
        <v>24</v>
      </c>
      <c r="I193" s="27">
        <v>3422.4810000000002</v>
      </c>
      <c r="J193" t="s">
        <v>153</v>
      </c>
      <c r="K193" t="s">
        <v>25</v>
      </c>
      <c r="M193" s="27">
        <f>5*532.273333333333</f>
        <v>2661.366666666665</v>
      </c>
      <c r="N193" t="s">
        <v>36</v>
      </c>
      <c r="O193" t="s">
        <v>25</v>
      </c>
      <c r="Q193" s="27">
        <v>61.831149999999994</v>
      </c>
      <c r="R193" t="s">
        <v>77</v>
      </c>
      <c r="S193" t="s">
        <v>25</v>
      </c>
      <c r="T193" s="27">
        <v>66.916666666666671</v>
      </c>
      <c r="W193" s="27"/>
      <c r="Z193" s="27"/>
      <c r="AA193" s="25"/>
      <c r="AB193" s="25"/>
      <c r="AC193" s="27"/>
      <c r="AD193" s="25"/>
      <c r="AE193" s="25"/>
      <c r="AF193" s="27"/>
      <c r="AH193" t="s">
        <v>25</v>
      </c>
      <c r="AI193" s="27">
        <f>'Yhtiökohtaiset arvot'!D20/(8/4)</f>
        <v>4.5854562499999991</v>
      </c>
      <c r="AL193" s="27"/>
      <c r="AM193" t="s">
        <v>743</v>
      </c>
      <c r="AO193" s="27">
        <f>(4200*1.85)/1000*IF(ISNUMBER('Yhtiökohtaiset arvot'!D25),'Yhtiökohtaiset arvot'!D25,'Yhtiökohtaiset arvot'!B25)*IF(ISNUMBER('Yhtiökohtaiset arvot'!D26),'Yhtiökohtaiset arvot'!D26,'Yhtiökohtaiset arvot'!B26)/1000</f>
        <v>124.37361300000001</v>
      </c>
    </row>
    <row r="194" spans="1:41" x14ac:dyDescent="0.2">
      <c r="A194" s="6">
        <v>202</v>
      </c>
      <c r="B194" s="196" t="s">
        <v>859</v>
      </c>
      <c r="C194" s="197">
        <f t="shared" ref="C194:C199" si="53">SUM(I194,M194,Q194,T194,W194,Z194,AC194,AF194,AI194,AL194,AO194)</f>
        <v>0</v>
      </c>
      <c r="D194" s="198" t="s">
        <v>33</v>
      </c>
      <c r="E194" s="199">
        <f t="shared" ref="E194:E199" si="54">SUM(I194,M194,Q194,T194,W194,Z194,AC194,AF194)</f>
        <v>0</v>
      </c>
      <c r="I194" s="27"/>
      <c r="M194" s="27"/>
      <c r="Q194" s="27"/>
      <c r="T194" s="27"/>
      <c r="W194" s="27"/>
      <c r="Z194" s="27"/>
      <c r="AA194" s="25"/>
      <c r="AB194" s="25"/>
      <c r="AC194" s="27"/>
      <c r="AD194" s="25"/>
      <c r="AE194" s="25"/>
      <c r="AF194" s="27"/>
      <c r="AI194" s="27"/>
      <c r="AL194" s="27"/>
      <c r="AO194" s="27"/>
    </row>
    <row r="195" spans="1:41" x14ac:dyDescent="0.2">
      <c r="A195" s="6">
        <v>203</v>
      </c>
      <c r="B195" s="196" t="s">
        <v>860</v>
      </c>
      <c r="C195" s="197">
        <f t="shared" si="53"/>
        <v>0</v>
      </c>
      <c r="D195" s="198" t="s">
        <v>33</v>
      </c>
      <c r="E195" s="199">
        <f t="shared" si="54"/>
        <v>0</v>
      </c>
      <c r="I195" s="27"/>
      <c r="M195" s="27"/>
      <c r="Q195" s="27"/>
      <c r="T195" s="27"/>
      <c r="W195" s="27"/>
      <c r="Z195" s="27"/>
      <c r="AA195" s="25"/>
      <c r="AB195" s="25"/>
      <c r="AC195" s="27"/>
      <c r="AD195" s="25"/>
      <c r="AE195" s="25"/>
      <c r="AF195" s="27"/>
      <c r="AI195" s="27"/>
      <c r="AL195" s="27"/>
      <c r="AO195" s="27"/>
    </row>
    <row r="196" spans="1:41" x14ac:dyDescent="0.2">
      <c r="A196" s="6">
        <v>204</v>
      </c>
      <c r="B196" s="196" t="s">
        <v>861</v>
      </c>
      <c r="C196" s="197">
        <f t="shared" si="53"/>
        <v>0</v>
      </c>
      <c r="D196" s="198" t="s">
        <v>33</v>
      </c>
      <c r="E196" s="199">
        <f t="shared" si="54"/>
        <v>0</v>
      </c>
      <c r="I196" s="27"/>
      <c r="M196" s="27"/>
      <c r="Q196" s="27"/>
      <c r="T196" s="27"/>
      <c r="W196" s="27"/>
      <c r="Z196" s="27"/>
      <c r="AA196" s="25"/>
      <c r="AB196" s="25"/>
      <c r="AC196" s="27"/>
      <c r="AD196" s="25"/>
      <c r="AE196" s="25"/>
      <c r="AF196" s="27"/>
      <c r="AI196" s="27"/>
      <c r="AL196" s="27"/>
      <c r="AO196" s="27"/>
    </row>
    <row r="197" spans="1:41" x14ac:dyDescent="0.2">
      <c r="A197" s="6">
        <v>205</v>
      </c>
      <c r="B197" s="196" t="s">
        <v>862</v>
      </c>
      <c r="C197" s="197">
        <f t="shared" si="53"/>
        <v>0</v>
      </c>
      <c r="D197" s="198" t="s">
        <v>33</v>
      </c>
      <c r="E197" s="199">
        <f t="shared" si="54"/>
        <v>0</v>
      </c>
      <c r="I197" s="27"/>
      <c r="M197" s="27"/>
      <c r="Q197" s="27"/>
      <c r="T197" s="27"/>
      <c r="W197" s="27"/>
      <c r="Z197" s="27"/>
      <c r="AA197" s="25"/>
      <c r="AB197" s="25"/>
      <c r="AC197" s="27"/>
      <c r="AD197" s="25"/>
      <c r="AE197" s="25"/>
      <c r="AF197" s="27"/>
      <c r="AI197" s="27"/>
      <c r="AL197" s="27"/>
      <c r="AO197" s="27"/>
    </row>
    <row r="198" spans="1:41" x14ac:dyDescent="0.2">
      <c r="A198" s="6">
        <v>206</v>
      </c>
      <c r="B198" s="196" t="s">
        <v>863</v>
      </c>
      <c r="C198" s="197">
        <f t="shared" si="53"/>
        <v>0</v>
      </c>
      <c r="D198" s="198" t="s">
        <v>33</v>
      </c>
      <c r="E198" s="199">
        <f t="shared" si="54"/>
        <v>0</v>
      </c>
      <c r="I198" s="27"/>
      <c r="M198" s="27"/>
      <c r="Q198" s="27"/>
      <c r="T198" s="27"/>
      <c r="W198" s="27"/>
      <c r="Z198" s="27"/>
      <c r="AA198" s="25"/>
      <c r="AB198" s="25"/>
      <c r="AC198" s="27"/>
      <c r="AD198" s="25"/>
      <c r="AE198" s="25"/>
      <c r="AF198" s="27"/>
      <c r="AI198" s="27"/>
      <c r="AL198" s="27"/>
      <c r="AO198" s="27"/>
    </row>
    <row r="199" spans="1:41" x14ac:dyDescent="0.2">
      <c r="A199" s="6">
        <v>207</v>
      </c>
      <c r="B199" s="7" t="s">
        <v>162</v>
      </c>
      <c r="C199" s="8">
        <f t="shared" si="53"/>
        <v>6092.3345695833323</v>
      </c>
      <c r="D199" s="9" t="s">
        <v>33</v>
      </c>
      <c r="E199" s="10">
        <f t="shared" si="54"/>
        <v>5724.3924833333322</v>
      </c>
      <c r="F199" t="s">
        <v>740</v>
      </c>
      <c r="G199" t="s">
        <v>25</v>
      </c>
      <c r="I199" s="27">
        <v>3405</v>
      </c>
      <c r="J199" t="s">
        <v>153</v>
      </c>
      <c r="K199" t="s">
        <v>25</v>
      </c>
      <c r="M199" s="27">
        <f>4*532.273333333333</f>
        <v>2129.0933333333319</v>
      </c>
      <c r="N199" t="s">
        <v>36</v>
      </c>
      <c r="O199" t="s">
        <v>25</v>
      </c>
      <c r="Q199" s="27">
        <v>61.831149999999994</v>
      </c>
      <c r="R199" t="s">
        <v>615</v>
      </c>
      <c r="S199" t="s">
        <v>25</v>
      </c>
      <c r="T199" s="29">
        <v>128.46799999999999</v>
      </c>
      <c r="W199" s="27"/>
      <c r="Z199" s="27"/>
      <c r="AA199" s="25"/>
      <c r="AB199" s="25"/>
      <c r="AC199" s="27"/>
      <c r="AD199" s="25"/>
      <c r="AE199" s="25"/>
      <c r="AF199" s="27"/>
      <c r="AH199" t="s">
        <v>25</v>
      </c>
      <c r="AI199" s="27">
        <f>'Yhtiökohtaiset arvot'!D20/(8/4)</f>
        <v>4.5854562499999991</v>
      </c>
      <c r="AL199" s="27"/>
      <c r="AM199" t="s">
        <v>741</v>
      </c>
      <c r="AO199" s="27">
        <f>22700/1000*IF(ISNUMBER('Yhtiökohtaiset arvot'!D25),'Yhtiökohtaiset arvot'!D25,'Yhtiökohtaiset arvot'!B25)*IF(ISNUMBER('Yhtiökohtaiset arvot'!D26),'Yhtiökohtaiset arvot'!D26,'Yhtiökohtaiset arvot'!B26)/1000</f>
        <v>363.35663000000005</v>
      </c>
    </row>
    <row r="200" spans="1:41" x14ac:dyDescent="0.2">
      <c r="A200" s="6">
        <v>208</v>
      </c>
      <c r="B200" s="7" t="s">
        <v>163</v>
      </c>
      <c r="C200" s="8">
        <f t="shared" si="49"/>
        <v>6624.6079029166649</v>
      </c>
      <c r="D200" s="9" t="s">
        <v>33</v>
      </c>
      <c r="E200" s="10">
        <f t="shared" si="50"/>
        <v>6256.6658166666648</v>
      </c>
      <c r="F200" t="s">
        <v>740</v>
      </c>
      <c r="G200" t="s">
        <v>25</v>
      </c>
      <c r="I200" s="27">
        <v>3405</v>
      </c>
      <c r="J200" t="s">
        <v>153</v>
      </c>
      <c r="K200" t="s">
        <v>25</v>
      </c>
      <c r="M200" s="27">
        <f>5*532.273333333333</f>
        <v>2661.366666666665</v>
      </c>
      <c r="N200" t="s">
        <v>36</v>
      </c>
      <c r="O200" t="s">
        <v>25</v>
      </c>
      <c r="Q200" s="27">
        <v>61.831149999999994</v>
      </c>
      <c r="R200" t="s">
        <v>615</v>
      </c>
      <c r="S200" t="s">
        <v>25</v>
      </c>
      <c r="T200" s="29">
        <v>128.46799999999999</v>
      </c>
      <c r="W200" s="27"/>
      <c r="Z200" s="27"/>
      <c r="AA200" s="25"/>
      <c r="AB200" s="25"/>
      <c r="AC200" s="27"/>
      <c r="AD200" s="25"/>
      <c r="AE200" s="25"/>
      <c r="AF200" s="27"/>
      <c r="AH200" t="s">
        <v>25</v>
      </c>
      <c r="AI200" s="27">
        <f>'Yhtiökohtaiset arvot'!D20/(8/4)</f>
        <v>4.5854562499999991</v>
      </c>
      <c r="AL200" s="27"/>
      <c r="AM200" t="s">
        <v>741</v>
      </c>
      <c r="AO200" s="27">
        <f>22700/1000*IF(ISNUMBER('Yhtiökohtaiset arvot'!D25),'Yhtiökohtaiset arvot'!D25,'Yhtiökohtaiset arvot'!B25)*IF(ISNUMBER('Yhtiökohtaiset arvot'!D26),'Yhtiökohtaiset arvot'!D26,'Yhtiökohtaiset arvot'!B26)/1000</f>
        <v>363.35663000000005</v>
      </c>
    </row>
    <row r="201" spans="1:41" x14ac:dyDescent="0.2">
      <c r="A201" s="6">
        <v>209</v>
      </c>
      <c r="B201" s="7" t="s">
        <v>164</v>
      </c>
      <c r="C201" s="8">
        <f>SUM(I201,M201,Q201,T201,W201,Z201,AC201,AF201,AI201,AL201,AO201)</f>
        <v>1661.3034124999988</v>
      </c>
      <c r="D201" s="9" t="s">
        <v>33</v>
      </c>
      <c r="E201" s="10">
        <f>SUM(I201,M201,Q201,T201,W201,Z201,AC201,AF201)</f>
        <v>1652.1324999999988</v>
      </c>
      <c r="F201" t="s">
        <v>153</v>
      </c>
      <c r="G201" t="s">
        <v>25</v>
      </c>
      <c r="I201" s="27">
        <f>3*532.273333333333</f>
        <v>1596.8199999999988</v>
      </c>
      <c r="J201" t="s">
        <v>442</v>
      </c>
      <c r="K201" t="s">
        <v>25</v>
      </c>
      <c r="M201" s="27">
        <v>55.3125</v>
      </c>
      <c r="Q201" s="27"/>
      <c r="T201" s="27"/>
      <c r="W201" s="27"/>
      <c r="Z201" s="27"/>
      <c r="AA201" s="25"/>
      <c r="AB201" s="25"/>
      <c r="AC201" s="27"/>
      <c r="AD201" s="25"/>
      <c r="AE201" s="25"/>
      <c r="AF201" s="27"/>
      <c r="AH201" t="s">
        <v>25</v>
      </c>
      <c r="AI201" s="27">
        <f>'Yhtiökohtaiset arvot'!D20/(8/8)</f>
        <v>9.1709124999999982</v>
      </c>
      <c r="AL201" s="27"/>
      <c r="AO201" s="27"/>
    </row>
    <row r="202" spans="1:41" x14ac:dyDescent="0.2">
      <c r="A202" s="6">
        <v>210</v>
      </c>
      <c r="B202" s="7" t="s">
        <v>165</v>
      </c>
      <c r="C202" s="8">
        <f>SUM(I202,M202,Q202,T202,W202,Z202,AC202,AF202,AI202,AL202,AO202)</f>
        <v>2193.5767458333321</v>
      </c>
      <c r="D202" s="9" t="s">
        <v>33</v>
      </c>
      <c r="E202" s="10">
        <f>SUM(I202,M202,Q202,T202,W202,Z202,AC202,AF202)</f>
        <v>2184.4058333333319</v>
      </c>
      <c r="F202" t="s">
        <v>153</v>
      </c>
      <c r="G202" t="s">
        <v>25</v>
      </c>
      <c r="I202" s="27">
        <f>4*532.273333333333</f>
        <v>2129.0933333333319</v>
      </c>
      <c r="J202" t="s">
        <v>442</v>
      </c>
      <c r="K202" t="s">
        <v>25</v>
      </c>
      <c r="M202" s="27">
        <v>55.3125</v>
      </c>
      <c r="Q202" s="27"/>
      <c r="T202" s="27"/>
      <c r="W202" s="27"/>
      <c r="Z202" s="27"/>
      <c r="AA202" s="25"/>
      <c r="AB202" s="25"/>
      <c r="AC202" s="27"/>
      <c r="AD202" s="25"/>
      <c r="AE202" s="25"/>
      <c r="AF202" s="27"/>
      <c r="AH202" t="s">
        <v>25</v>
      </c>
      <c r="AI202" s="27">
        <f>'Yhtiökohtaiset arvot'!D20/(8/8)</f>
        <v>9.1709124999999982</v>
      </c>
      <c r="AL202" s="27"/>
      <c r="AO202" s="27"/>
    </row>
    <row r="203" spans="1:41" x14ac:dyDescent="0.2">
      <c r="A203" s="6">
        <v>211</v>
      </c>
      <c r="B203" s="7" t="s">
        <v>166</v>
      </c>
      <c r="C203" s="8">
        <f>SUM(I203,M203,Q203,T203,W203,Z203,AC203,AF203,AI203,AL203,AO203)</f>
        <v>2725.8500791666652</v>
      </c>
      <c r="D203" s="9" t="s">
        <v>33</v>
      </c>
      <c r="E203" s="10">
        <f>SUM(I203,M203,Q203,T203,W203,Z203,AC203,AF203)</f>
        <v>2716.679166666665</v>
      </c>
      <c r="F203" t="s">
        <v>153</v>
      </c>
      <c r="G203" t="s">
        <v>25</v>
      </c>
      <c r="I203" s="27">
        <f>5*532.273333333333</f>
        <v>2661.366666666665</v>
      </c>
      <c r="J203" t="s">
        <v>442</v>
      </c>
      <c r="K203" t="s">
        <v>25</v>
      </c>
      <c r="M203" s="27">
        <v>55.3125</v>
      </c>
      <c r="Q203" s="27"/>
      <c r="T203" s="27"/>
      <c r="W203" s="27"/>
      <c r="Z203" s="27"/>
      <c r="AA203" s="25"/>
      <c r="AB203" s="25"/>
      <c r="AC203" s="27"/>
      <c r="AD203" s="25"/>
      <c r="AE203" s="25"/>
      <c r="AF203" s="27"/>
      <c r="AH203" t="s">
        <v>25</v>
      </c>
      <c r="AI203" s="27">
        <f>'Yhtiökohtaiset arvot'!D20/(8/8)</f>
        <v>9.1709124999999982</v>
      </c>
      <c r="AL203" s="27"/>
      <c r="AO203" s="27"/>
    </row>
    <row r="204" spans="1:41" x14ac:dyDescent="0.2">
      <c r="A204" s="6">
        <v>212</v>
      </c>
      <c r="B204" s="7" t="s">
        <v>167</v>
      </c>
      <c r="C204" s="8">
        <f t="shared" si="49"/>
        <v>6057.7479068333314</v>
      </c>
      <c r="D204" s="9" t="s">
        <v>33</v>
      </c>
      <c r="E204" s="10">
        <f t="shared" si="50"/>
        <v>5917.4804833333319</v>
      </c>
      <c r="F204" t="s">
        <v>76</v>
      </c>
      <c r="G204" t="s">
        <v>24</v>
      </c>
      <c r="I204" s="27">
        <v>3598.0880000000002</v>
      </c>
      <c r="J204" t="s">
        <v>153</v>
      </c>
      <c r="K204" t="s">
        <v>25</v>
      </c>
      <c r="M204" s="27">
        <f>4*532.273333333333</f>
        <v>2129.0933333333319</v>
      </c>
      <c r="N204" t="s">
        <v>36</v>
      </c>
      <c r="O204" t="s">
        <v>25</v>
      </c>
      <c r="Q204" s="27">
        <v>61.831149999999994</v>
      </c>
      <c r="R204" t="s">
        <v>615</v>
      </c>
      <c r="S204" t="s">
        <v>25</v>
      </c>
      <c r="T204" s="29">
        <v>128.46799999999999</v>
      </c>
      <c r="W204" s="27"/>
      <c r="Z204" s="27"/>
      <c r="AA204" s="25"/>
      <c r="AB204" s="25"/>
      <c r="AC204" s="27"/>
      <c r="AD204" s="25"/>
      <c r="AE204" s="25"/>
      <c r="AF204" s="27"/>
      <c r="AH204" t="s">
        <v>25</v>
      </c>
      <c r="AI204" s="27">
        <f>'Yhtiökohtaiset arvot'!D20/(8/8)</f>
        <v>9.1709124999999982</v>
      </c>
      <c r="AL204" s="27"/>
      <c r="AM204" t="s">
        <v>744</v>
      </c>
      <c r="AO204" s="27">
        <f>(4200*1.95)/1000*IF(ISNUMBER('Yhtiökohtaiset arvot'!D25),'Yhtiökohtaiset arvot'!D25,'Yhtiökohtaiset arvot'!B25)*IF(ISNUMBER('Yhtiökohtaiset arvot'!D26),'Yhtiökohtaiset arvot'!D26,'Yhtiökohtaiset arvot'!B26)/1000</f>
        <v>131.09651100000002</v>
      </c>
    </row>
    <row r="205" spans="1:41" x14ac:dyDescent="0.2">
      <c r="A205" s="6">
        <v>213</v>
      </c>
      <c r="B205" s="7" t="s">
        <v>168</v>
      </c>
      <c r="C205" s="8">
        <f t="shared" si="49"/>
        <v>8719.8290458333304</v>
      </c>
      <c r="D205" s="9" t="s">
        <v>33</v>
      </c>
      <c r="E205" s="10">
        <f t="shared" si="50"/>
        <v>8094.3924833333303</v>
      </c>
      <c r="F205" t="s">
        <v>740</v>
      </c>
      <c r="G205" t="s">
        <v>25</v>
      </c>
      <c r="I205" s="27">
        <v>5774.9999999999991</v>
      </c>
      <c r="J205" t="s">
        <v>153</v>
      </c>
      <c r="K205" t="s">
        <v>25</v>
      </c>
      <c r="M205" s="27">
        <f>4*532.273333333333</f>
        <v>2129.0933333333319</v>
      </c>
      <c r="N205" t="s">
        <v>36</v>
      </c>
      <c r="O205" t="s">
        <v>25</v>
      </c>
      <c r="Q205" s="27">
        <v>61.831149999999994</v>
      </c>
      <c r="R205" t="s">
        <v>615</v>
      </c>
      <c r="S205" t="s">
        <v>25</v>
      </c>
      <c r="T205" s="29">
        <v>128.46799999999999</v>
      </c>
      <c r="W205" s="27"/>
      <c r="Z205" s="27"/>
      <c r="AA205" s="25"/>
      <c r="AB205" s="25"/>
      <c r="AC205" s="27"/>
      <c r="AD205" s="25"/>
      <c r="AE205" s="25"/>
      <c r="AF205" s="27"/>
      <c r="AH205" t="s">
        <v>25</v>
      </c>
      <c r="AI205" s="27">
        <f>'Yhtiökohtaiset arvot'!D20/(8/8)</f>
        <v>9.1709124999999982</v>
      </c>
      <c r="AL205" s="27"/>
      <c r="AM205" t="s">
        <v>742</v>
      </c>
      <c r="AO205" s="27">
        <f>38500/1000*IF(ISNUMBER('Yhtiökohtaiset arvot'!D25),'Yhtiökohtaiset arvot'!D25,'Yhtiökohtaiset arvot'!B25)*IF(ISNUMBER('Yhtiökohtaiset arvot'!D26),'Yhtiökohtaiset arvot'!D26,'Yhtiökohtaiset arvot'!B26)/1000</f>
        <v>616.26565000000005</v>
      </c>
    </row>
    <row r="206" spans="1:41" x14ac:dyDescent="0.2">
      <c r="A206" s="6">
        <v>214</v>
      </c>
      <c r="B206" s="7" t="s">
        <v>169</v>
      </c>
      <c r="C206" s="8">
        <f t="shared" si="49"/>
        <v>2193.5767458333321</v>
      </c>
      <c r="D206" s="9" t="s">
        <v>33</v>
      </c>
      <c r="E206" s="10">
        <f t="shared" si="50"/>
        <v>2184.4058333333319</v>
      </c>
      <c r="F206" t="s">
        <v>153</v>
      </c>
      <c r="G206" t="s">
        <v>25</v>
      </c>
      <c r="I206" s="27">
        <f>4*532.273333333333</f>
        <v>2129.0933333333319</v>
      </c>
      <c r="J206" t="s">
        <v>442</v>
      </c>
      <c r="K206" t="s">
        <v>25</v>
      </c>
      <c r="M206" s="27">
        <v>55.3125</v>
      </c>
      <c r="Q206" s="27"/>
      <c r="T206" s="27"/>
      <c r="W206" s="27"/>
      <c r="Z206" s="27"/>
      <c r="AA206" s="25"/>
      <c r="AB206" s="25"/>
      <c r="AC206" s="27"/>
      <c r="AD206" s="25"/>
      <c r="AE206" s="25"/>
      <c r="AF206" s="27"/>
      <c r="AH206" t="s">
        <v>25</v>
      </c>
      <c r="AI206" s="27">
        <f>'Yhtiökohtaiset arvot'!D20/(8/8)</f>
        <v>9.1709124999999982</v>
      </c>
      <c r="AL206" s="27"/>
      <c r="AO206" s="27"/>
    </row>
    <row r="207" spans="1:41" x14ac:dyDescent="0.2">
      <c r="A207" s="6">
        <v>215</v>
      </c>
      <c r="B207" s="196" t="s">
        <v>864</v>
      </c>
      <c r="C207" s="197">
        <f t="shared" ref="C207:C208" si="55">SUM(I207,M207,Q207,T207,W207,Z207,AC207,AF207,AI207,AL207,AO207)</f>
        <v>0</v>
      </c>
      <c r="D207" s="198" t="s">
        <v>33</v>
      </c>
      <c r="E207" s="199">
        <f t="shared" ref="E207:E208" si="56">SUM(I207,M207,Q207,T207,W207,Z207,AC207,AF207)</f>
        <v>0</v>
      </c>
      <c r="I207" s="27"/>
      <c r="M207" s="27"/>
      <c r="Q207" s="27"/>
      <c r="T207" s="27"/>
      <c r="W207" s="27"/>
      <c r="Z207" s="27"/>
      <c r="AA207" s="25"/>
      <c r="AB207" s="25"/>
      <c r="AC207" s="27"/>
      <c r="AD207" s="25"/>
      <c r="AE207" s="25"/>
      <c r="AF207" s="27"/>
      <c r="AI207" s="27"/>
      <c r="AL207" s="27"/>
      <c r="AO207" s="27"/>
    </row>
    <row r="208" spans="1:41" x14ac:dyDescent="0.2">
      <c r="A208" s="6">
        <v>216</v>
      </c>
      <c r="B208" s="196" t="s">
        <v>865</v>
      </c>
      <c r="C208" s="197">
        <f t="shared" si="55"/>
        <v>0</v>
      </c>
      <c r="D208" s="198" t="s">
        <v>33</v>
      </c>
      <c r="E208" s="199">
        <f t="shared" si="56"/>
        <v>0</v>
      </c>
      <c r="I208" s="27"/>
      <c r="M208" s="27"/>
      <c r="Q208" s="27"/>
      <c r="T208" s="27"/>
      <c r="W208" s="27"/>
      <c r="Z208" s="27"/>
      <c r="AA208" s="25"/>
      <c r="AB208" s="25"/>
      <c r="AC208" s="27"/>
      <c r="AD208" s="25"/>
      <c r="AE208" s="25"/>
      <c r="AF208" s="27"/>
      <c r="AI208" s="27"/>
      <c r="AL208" s="27"/>
      <c r="AO208" s="27"/>
    </row>
    <row r="209" spans="1:41" x14ac:dyDescent="0.2">
      <c r="A209" s="6">
        <v>217</v>
      </c>
      <c r="B209" s="7" t="s">
        <v>170</v>
      </c>
      <c r="C209" s="8">
        <f t="shared" si="49"/>
        <v>18020.912699336193</v>
      </c>
      <c r="D209" s="9" t="s">
        <v>33</v>
      </c>
      <c r="E209" s="10">
        <f t="shared" si="50"/>
        <v>18011.741786836192</v>
      </c>
      <c r="F209" t="s">
        <v>72</v>
      </c>
      <c r="G209" t="s">
        <v>25</v>
      </c>
      <c r="I209" s="27">
        <v>18011.741786836192</v>
      </c>
      <c r="M209" s="9"/>
      <c r="Q209" s="9"/>
      <c r="T209" s="9"/>
      <c r="W209" s="9"/>
      <c r="Z209" s="27"/>
      <c r="AC209" s="9"/>
      <c r="AF209" s="27"/>
      <c r="AH209" t="s">
        <v>25</v>
      </c>
      <c r="AI209" s="27">
        <f>'Yhtiökohtaiset arvot'!D20/(8/8)</f>
        <v>9.1709124999999982</v>
      </c>
      <c r="AL209" s="9"/>
      <c r="AO209" s="9"/>
    </row>
    <row r="210" spans="1:41" x14ac:dyDescent="0.2">
      <c r="A210" s="173">
        <v>218</v>
      </c>
      <c r="B210" s="173" t="s">
        <v>171</v>
      </c>
      <c r="C210" s="197">
        <f t="shared" si="49"/>
        <v>0</v>
      </c>
      <c r="D210" s="198" t="s">
        <v>33</v>
      </c>
      <c r="E210" s="199">
        <f t="shared" si="50"/>
        <v>0</v>
      </c>
      <c r="I210" s="9"/>
      <c r="M210" s="9"/>
      <c r="Q210" s="9"/>
      <c r="T210" s="9"/>
      <c r="W210" s="9"/>
      <c r="Z210" s="27"/>
      <c r="AC210" s="9"/>
      <c r="AF210" s="27"/>
      <c r="AH210" s="8"/>
      <c r="AI210" s="27"/>
      <c r="AL210" s="9"/>
      <c r="AO210" s="9"/>
    </row>
    <row r="211" spans="1:41" x14ac:dyDescent="0.2">
      <c r="A211" s="173">
        <v>219</v>
      </c>
      <c r="B211" s="173" t="s">
        <v>171</v>
      </c>
      <c r="C211" s="197">
        <f t="shared" ref="C211" si="57">SUM(I211,M211,Q211,T211,W211,Z211,AC211,AF211,AI211,AL211,AO211)</f>
        <v>0</v>
      </c>
      <c r="D211" s="198" t="s">
        <v>33</v>
      </c>
      <c r="E211" s="199">
        <f t="shared" ref="E211" si="58">SUM(I211,M211,Q211,T211,W211,Z211,AC211,AF211)</f>
        <v>0</v>
      </c>
      <c r="I211" s="9"/>
      <c r="M211" s="9"/>
      <c r="Q211" s="9"/>
      <c r="T211" s="9"/>
      <c r="W211" s="9"/>
      <c r="Z211" s="27"/>
      <c r="AC211" s="9"/>
      <c r="AF211" s="9"/>
      <c r="AI211" s="9"/>
      <c r="AL211" s="9"/>
      <c r="AO211" s="9"/>
    </row>
  </sheetData>
  <phoneticPr fontId="1" type="noConversion"/>
  <hyperlinks>
    <hyperlink ref="G66" r:id="rId1" xr:uid="{65D64EDC-0410-4D52-B138-06B2D977581F}"/>
    <hyperlink ref="G67" r:id="rId2" xr:uid="{0CEF6485-C9CA-4BC3-9DBC-DDA631C478B2}"/>
    <hyperlink ref="G68" r:id="rId3" xr:uid="{CFADE759-0C74-4473-B6EA-BAEEA864B9DE}"/>
    <hyperlink ref="G69" r:id="rId4" xr:uid="{93C87AB3-8006-4274-90AE-FC1303F096AE}"/>
    <hyperlink ref="G70" r:id="rId5" xr:uid="{C5902AE1-3C3D-496B-ADFA-4BD9604EEC7B}"/>
    <hyperlink ref="G71" r:id="rId6" xr:uid="{43E00E8E-88F8-42D8-8DFC-83ADAE21881D}"/>
    <hyperlink ref="G72" r:id="rId7" xr:uid="{64772345-D63C-4D76-9E49-EC4CD3DF747D}"/>
    <hyperlink ref="G73" r:id="rId8" xr:uid="{44C71274-680D-4DE8-8284-542C01928F41}"/>
    <hyperlink ref="G74" r:id="rId9" xr:uid="{47A48E52-4D54-4DFA-B7D5-2306B18581A1}"/>
    <hyperlink ref="G75" r:id="rId10" xr:uid="{A8226CCF-C915-4273-B979-21EEB8ECDD2D}"/>
    <hyperlink ref="G76" r:id="rId11" xr:uid="{DE23675C-BF0C-4681-B373-BD32A3F90D4F}"/>
    <hyperlink ref="G77" r:id="rId12" xr:uid="{C7E273F6-0CA8-440E-8948-90DBDFF79A68}"/>
    <hyperlink ref="G78" r:id="rId13" xr:uid="{F133DB2A-B0BC-4AEB-9554-E63488D85A09}"/>
    <hyperlink ref="G79" r:id="rId14" xr:uid="{AE61EC4D-B93C-4AA5-A155-4AEE892EDC41}"/>
    <hyperlink ref="G96" r:id="rId15" xr:uid="{F881774C-D2C2-4CF6-8B2B-7545FC542DF4}"/>
    <hyperlink ref="G97" r:id="rId16" xr:uid="{6BDD4B62-9DAA-45C0-B592-D9E6E44039DA}"/>
    <hyperlink ref="G98" r:id="rId17" xr:uid="{389867D0-EFB4-438F-89ED-DCB333CD6143}"/>
    <hyperlink ref="G99" r:id="rId18" xr:uid="{EF5FD7D4-CD51-4DA4-B2B3-03EFB17AEDB3}"/>
    <hyperlink ref="G101" r:id="rId19" xr:uid="{BEBE4DB4-9BFF-47E9-8C56-9638C07D4453}"/>
    <hyperlink ref="G102" r:id="rId20" xr:uid="{0FFDBC11-C137-41CD-A298-0660A95AA470}"/>
    <hyperlink ref="K78" r:id="rId21" xr:uid="{463681DC-B9F4-4745-A7F9-FD50495C50D3}"/>
    <hyperlink ref="K79" r:id="rId22" xr:uid="{3B6F76EE-1889-4111-AD9B-8CB991A14E6A}"/>
    <hyperlink ref="K81" r:id="rId23" xr:uid="{C7E868C6-5928-4E93-9175-71D4EFE49890}"/>
    <hyperlink ref="K82" r:id="rId24" xr:uid="{7A25187B-5CF2-451B-A07F-E8EC8A667367}"/>
    <hyperlink ref="K83" r:id="rId25" xr:uid="{BD7EAB9E-FC04-45DE-88BA-5C288A25395B}"/>
    <hyperlink ref="K88" r:id="rId26" xr:uid="{BFE558CB-79C8-4AEA-9831-585AB8DC3DEB}"/>
    <hyperlink ref="K90" r:id="rId27" xr:uid="{C5EC5C7B-FF93-430B-93D5-D52B718FD321}"/>
    <hyperlink ref="K91" r:id="rId28" xr:uid="{C92DAC68-48C8-4946-B9EF-8D406EA0371B}"/>
    <hyperlink ref="K92" r:id="rId29" xr:uid="{31442E3A-9A6B-4B08-B7A8-2348DCB4082D}"/>
    <hyperlink ref="K94" r:id="rId30" xr:uid="{CD05F8DA-7DFE-4373-9306-B36F9BDDDFAB}"/>
    <hyperlink ref="K96" r:id="rId31" xr:uid="{8E3991B6-9A9F-4C38-A815-469F7BC3E9F5}"/>
    <hyperlink ref="K97" r:id="rId32" xr:uid="{DF7CF564-2006-4AF5-80FA-5A0986FA4697}"/>
    <hyperlink ref="K98" r:id="rId33" xr:uid="{405B2A11-0498-4CE6-B350-4857F6EBCD27}"/>
    <hyperlink ref="K99" r:id="rId34" xr:uid="{C6613EFE-461C-4823-A529-DCC62F361656}"/>
    <hyperlink ref="K101" r:id="rId35" xr:uid="{AF84A7AC-924D-4F21-B6B1-7A8385F0A334}"/>
    <hyperlink ref="K102" r:id="rId36" xr:uid="{85DEB1F9-6D3D-4817-8783-49EDC40A312C}"/>
    <hyperlink ref="G119" r:id="rId37" xr:uid="{8991ED2A-8B5F-4740-BF38-0D11764091D5}"/>
    <hyperlink ref="G120" r:id="rId38" xr:uid="{A5F801AB-196C-43AA-8AC7-E01878A7B68D}"/>
    <hyperlink ref="G122" r:id="rId39" xr:uid="{D70788F7-15B2-4137-B13E-D821032BCA37}"/>
    <hyperlink ref="G123" r:id="rId40" xr:uid="{3421F39C-DA07-4344-9E18-CC0A3029E49C}"/>
    <hyperlink ref="G124" r:id="rId41" xr:uid="{0BB6CEB5-96BD-47AB-9CC8-2C0CAC994920}"/>
    <hyperlink ref="G130" r:id="rId42" xr:uid="{64AFB33A-9347-4575-AFE3-F3CC0E1A5AB4}"/>
    <hyperlink ref="G131" r:id="rId43" xr:uid="{A4D641CE-1C6A-42FA-951B-EF37735D2064}"/>
    <hyperlink ref="G132" r:id="rId44" xr:uid="{DA973107-AEF5-4DB3-AB5A-4D5571243AC0}"/>
    <hyperlink ref="G133" r:id="rId45" xr:uid="{2A67FBF4-66E4-40EC-9B38-14414D130944}"/>
    <hyperlink ref="G134" r:id="rId46" xr:uid="{C801245A-8831-4D7C-A63D-09506AEDA9B4}"/>
    <hyperlink ref="G135" r:id="rId47" xr:uid="{8E84C912-C720-4945-A3B6-E398FEEAA460}"/>
    <hyperlink ref="G136" r:id="rId48" xr:uid="{A054BD2C-4C09-47DC-9F08-574C60AAD5B5}"/>
    <hyperlink ref="G150" r:id="rId49" xr:uid="{52DF6978-A297-4C6A-879E-56D417FC3B8F}"/>
    <hyperlink ref="G151" r:id="rId50" xr:uid="{C2F5B807-DF92-412C-A23E-0F63B9FE71DB}"/>
    <hyperlink ref="G152" r:id="rId51" xr:uid="{4CBDB723-D57A-493A-ADCB-7EDB5620113B}"/>
    <hyperlink ref="G153" r:id="rId52" xr:uid="{75202092-111E-4A29-97B2-232B21747B8E}"/>
    <hyperlink ref="G154" r:id="rId53" xr:uid="{D53CB31B-0119-476A-A2D8-D64ACD86FF78}"/>
    <hyperlink ref="G155" r:id="rId54" xr:uid="{A91C7C44-1571-474A-B5D5-14F0D965BD00}"/>
    <hyperlink ref="G156" r:id="rId55" xr:uid="{81ED7FF0-E6EC-48DB-8E96-DD7B92FFF521}"/>
    <hyperlink ref="K2" r:id="rId56" xr:uid="{F8AC5A2B-77DB-445A-808E-FFB852CE4AA2}"/>
    <hyperlink ref="K3" r:id="rId57" xr:uid="{A1C283FB-F202-446C-A272-E1A5B228EF79}"/>
    <hyperlink ref="K4" r:id="rId58" xr:uid="{3518A343-44C3-4646-A5C4-61C9176C580D}"/>
    <hyperlink ref="K6" r:id="rId59" xr:uid="{7B8DFDDC-55B8-4258-B170-A91DC91299EB}"/>
    <hyperlink ref="G20" r:id="rId60" xr:uid="{3CFDC05D-79F7-45D5-9FA6-1E7F795F97B5}"/>
    <hyperlink ref="G21" r:id="rId61" xr:uid="{C77D35B7-37EC-4F50-B019-CB5364199A6E}"/>
    <hyperlink ref="G22" r:id="rId62" xr:uid="{45442FC0-7523-4E3E-B226-E775422D7872}"/>
    <hyperlink ref="G23" r:id="rId63" xr:uid="{06CA8EBC-2137-4678-8541-67D2EDD4F7B9}"/>
    <hyperlink ref="G24" r:id="rId64" xr:uid="{BCFB7969-CA50-42F8-A7DC-30C09539A614}"/>
    <hyperlink ref="G25" r:id="rId65" xr:uid="{2B0E1337-2484-46E7-9688-9BC00562C859}"/>
    <hyperlink ref="G26" r:id="rId66" xr:uid="{3C5AF44C-16C7-413A-9CEA-C63613227176}"/>
    <hyperlink ref="G27" r:id="rId67" xr:uid="{3AC6D7A2-01E8-4FA0-A9EE-A5239E4341F0}"/>
    <hyperlink ref="G28" r:id="rId68" xr:uid="{6EAACEDA-0D3E-4853-8788-6C9EBEC1F59B}"/>
    <hyperlink ref="G29" r:id="rId69" xr:uid="{FA7F2B46-9CD7-46AD-AA88-286E1114FD3E}"/>
    <hyperlink ref="G32" r:id="rId70" xr:uid="{C76A5885-36EA-4096-B3BD-605801F10C5B}"/>
    <hyperlink ref="G34" r:id="rId71" xr:uid="{C5EA7E23-35B4-44CD-8D80-F963D0D2C90D}"/>
    <hyperlink ref="G36" r:id="rId72" xr:uid="{50A6C814-687A-4C9B-8918-A294874513AF}"/>
    <hyperlink ref="G35" r:id="rId73" xr:uid="{65F0416D-2562-4A43-9724-257938C9EDE3}"/>
    <hyperlink ref="G37" r:id="rId74" xr:uid="{2E00A745-7A8F-46BB-80F4-FEE2AC891337}"/>
    <hyperlink ref="O96" r:id="rId75" xr:uid="{6F43EC74-5BC6-4A9E-ADAD-50B2CA332B48}"/>
    <hyperlink ref="O97" r:id="rId76" xr:uid="{23EC6B97-4EB0-4CEA-9AF6-C093DBC7297E}"/>
    <hyperlink ref="O98" r:id="rId77" xr:uid="{35511EF3-0ED0-4294-AC67-D21050F8F98B}"/>
    <hyperlink ref="O99" r:id="rId78" xr:uid="{1F5CCBBB-457D-4592-BAE6-EA75EEA2AAD7}"/>
    <hyperlink ref="O101" r:id="rId79" xr:uid="{405D6794-CB85-4EA4-BBF4-DE8751A3ACA4}"/>
    <hyperlink ref="O102" r:id="rId80" xr:uid="{6D982E4D-AAFF-4B78-A35C-1B625FE97B0C}"/>
    <hyperlink ref="G95" r:id="rId81" xr:uid="{7FB3A3A7-8540-4F22-93FF-A836A898571C}"/>
  </hyperlinks>
  <pageMargins left="0.7" right="0.7" top="0.75" bottom="0.75" header="0.3" footer="0.3"/>
  <ignoredErrors>
    <ignoredError sqref="M11 M199 AO183 M193" formula="1"/>
  </ignoredErrors>
  <legacy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D1E3-9131-4CC3-9789-074315BEFF50}">
  <dimension ref="A1:M38"/>
  <sheetViews>
    <sheetView tabSelected="1" workbookViewId="0">
      <selection activeCell="B31" sqref="B31"/>
    </sheetView>
  </sheetViews>
  <sheetFormatPr baseColWidth="10" defaultColWidth="8.83203125" defaultRowHeight="15" x14ac:dyDescent="0.2"/>
  <cols>
    <col min="1" max="1" width="54.5" customWidth="1"/>
    <col min="2" max="2" width="10.5" customWidth="1"/>
    <col min="3" max="3" width="10.83203125" customWidth="1"/>
    <col min="4" max="4" width="10" bestFit="1" customWidth="1"/>
    <col min="5" max="5" width="9.5" customWidth="1"/>
    <col min="8" max="8" width="10.6640625" customWidth="1"/>
  </cols>
  <sheetData>
    <row r="1" spans="1:13" ht="16" thickBot="1" x14ac:dyDescent="0.25">
      <c r="A1" s="40" t="s">
        <v>201</v>
      </c>
      <c r="B1" s="37" t="s">
        <v>172</v>
      </c>
      <c r="C1" s="38"/>
      <c r="D1" s="193" t="s">
        <v>173</v>
      </c>
      <c r="E1" s="194"/>
      <c r="F1" s="38" t="s">
        <v>720</v>
      </c>
      <c r="G1" s="34"/>
      <c r="H1" t="s">
        <v>722</v>
      </c>
    </row>
    <row r="2" spans="1:13" x14ac:dyDescent="0.2">
      <c r="A2" s="5" t="s">
        <v>264</v>
      </c>
      <c r="B2" s="5">
        <v>200</v>
      </c>
      <c r="C2" t="s">
        <v>174</v>
      </c>
      <c r="D2" s="206"/>
      <c r="E2" s="207" t="s">
        <v>174</v>
      </c>
      <c r="F2" s="33">
        <f>1/(8/(1000/B2))</f>
        <v>0.625</v>
      </c>
      <c r="G2" s="34" t="s">
        <v>721</v>
      </c>
      <c r="H2" s="32">
        <f>1/(8/(1000/IF(ISNUMBER(D2),D2,B2)))</f>
        <v>0.625</v>
      </c>
      <c r="I2" s="34" t="s">
        <v>721</v>
      </c>
    </row>
    <row r="3" spans="1:13" x14ac:dyDescent="0.2">
      <c r="A3" s="5" t="s">
        <v>265</v>
      </c>
      <c r="B3" s="5">
        <v>100</v>
      </c>
      <c r="C3" t="s">
        <v>174</v>
      </c>
      <c r="D3" s="206"/>
      <c r="E3" s="207" t="s">
        <v>174</v>
      </c>
      <c r="F3">
        <f>1/(8/(1000/B3))</f>
        <v>1.25</v>
      </c>
      <c r="G3" t="s">
        <v>721</v>
      </c>
      <c r="H3" s="5">
        <f>1/(8/(1000/IF(ISNUMBER(D3),D3,B3)))</f>
        <v>1.25</v>
      </c>
      <c r="I3" s="9" t="s">
        <v>721</v>
      </c>
    </row>
    <row r="4" spans="1:13" x14ac:dyDescent="0.2">
      <c r="A4" s="5" t="s">
        <v>266</v>
      </c>
      <c r="B4" s="5"/>
      <c r="D4" s="208"/>
      <c r="E4" s="207"/>
      <c r="G4" s="9"/>
      <c r="H4" s="5"/>
      <c r="I4" s="9"/>
    </row>
    <row r="5" spans="1:13" x14ac:dyDescent="0.2">
      <c r="A5" s="35" t="s">
        <v>200</v>
      </c>
      <c r="B5" s="5">
        <v>50</v>
      </c>
      <c r="C5" t="s">
        <v>174</v>
      </c>
      <c r="D5" s="206"/>
      <c r="E5" s="207" t="s">
        <v>174</v>
      </c>
      <c r="F5">
        <f t="shared" ref="F5:F8" si="0">1/(8/(1000/B5))</f>
        <v>2.5</v>
      </c>
      <c r="G5" s="9" t="s">
        <v>721</v>
      </c>
      <c r="H5" s="5">
        <f t="shared" ref="H5:H8" si="1">1/(8/(1000/IF(ISNUMBER(D5),D5,B5)))</f>
        <v>2.5</v>
      </c>
      <c r="I5" s="9" t="s">
        <v>721</v>
      </c>
    </row>
    <row r="6" spans="1:13" x14ac:dyDescent="0.2">
      <c r="A6" s="35" t="s">
        <v>197</v>
      </c>
      <c r="B6" s="5">
        <v>10</v>
      </c>
      <c r="C6" t="s">
        <v>174</v>
      </c>
      <c r="D6" s="206"/>
      <c r="E6" s="207" t="s">
        <v>174</v>
      </c>
      <c r="F6">
        <f t="shared" si="0"/>
        <v>12.5</v>
      </c>
      <c r="G6" s="9" t="s">
        <v>721</v>
      </c>
      <c r="H6" s="5">
        <f t="shared" si="1"/>
        <v>12.5</v>
      </c>
      <c r="I6" s="9" t="s">
        <v>721</v>
      </c>
    </row>
    <row r="7" spans="1:13" x14ac:dyDescent="0.2">
      <c r="A7" s="5" t="s">
        <v>267</v>
      </c>
      <c r="B7" s="5">
        <v>50</v>
      </c>
      <c r="C7" t="s">
        <v>174</v>
      </c>
      <c r="D7" s="206"/>
      <c r="E7" s="207" t="s">
        <v>174</v>
      </c>
      <c r="F7">
        <f t="shared" si="0"/>
        <v>2.5</v>
      </c>
      <c r="G7" s="9" t="s">
        <v>721</v>
      </c>
      <c r="H7" s="5">
        <f t="shared" si="1"/>
        <v>2.5</v>
      </c>
      <c r="I7" s="9" t="s">
        <v>721</v>
      </c>
    </row>
    <row r="8" spans="1:13" ht="16" thickBot="1" x14ac:dyDescent="0.25">
      <c r="A8" s="36" t="s">
        <v>268</v>
      </c>
      <c r="B8" s="36">
        <v>20</v>
      </c>
      <c r="C8" s="1" t="s">
        <v>174</v>
      </c>
      <c r="D8" s="209"/>
      <c r="E8" s="210" t="s">
        <v>174</v>
      </c>
      <c r="F8" s="1">
        <f t="shared" si="0"/>
        <v>6.25</v>
      </c>
      <c r="G8" s="3" t="s">
        <v>721</v>
      </c>
      <c r="H8" s="36">
        <f t="shared" si="1"/>
        <v>6.25</v>
      </c>
      <c r="I8" s="3" t="s">
        <v>721</v>
      </c>
    </row>
    <row r="9" spans="1:13" x14ac:dyDescent="0.2">
      <c r="D9" s="11"/>
    </row>
    <row r="10" spans="1:13" ht="16" thickBot="1" x14ac:dyDescent="0.25">
      <c r="D10" s="11"/>
    </row>
    <row r="11" spans="1:13" ht="16" thickBot="1" x14ac:dyDescent="0.25">
      <c r="A11" s="40" t="s">
        <v>212</v>
      </c>
      <c r="B11" s="37" t="s">
        <v>172</v>
      </c>
      <c r="C11" s="38"/>
      <c r="D11" s="217" t="s">
        <v>173</v>
      </c>
      <c r="E11" s="194"/>
      <c r="F11" s="38"/>
      <c r="G11" s="38" t="s">
        <v>203</v>
      </c>
      <c r="H11" s="39"/>
      <c r="K11" t="s">
        <v>882</v>
      </c>
    </row>
    <row r="12" spans="1:13" x14ac:dyDescent="0.2">
      <c r="A12" s="5" t="s">
        <v>175</v>
      </c>
      <c r="B12" s="42">
        <v>18.5</v>
      </c>
      <c r="C12" t="s">
        <v>22</v>
      </c>
      <c r="D12" s="219"/>
      <c r="E12" s="215" t="s">
        <v>22</v>
      </c>
      <c r="G12">
        <f>2*IF(ISNUMBER(D12),D12,B12)</f>
        <v>37</v>
      </c>
      <c r="H12" s="9" t="s">
        <v>22</v>
      </c>
      <c r="K12" s="32" t="s">
        <v>204</v>
      </c>
      <c r="L12" s="33"/>
      <c r="M12" s="34">
        <v>1.28</v>
      </c>
    </row>
    <row r="13" spans="1:13" x14ac:dyDescent="0.2">
      <c r="A13" s="5" t="s">
        <v>176</v>
      </c>
      <c r="B13" s="42">
        <v>18.5</v>
      </c>
      <c r="C13" t="s">
        <v>22</v>
      </c>
      <c r="D13" s="206"/>
      <c r="E13" s="207" t="s">
        <v>22</v>
      </c>
      <c r="G13">
        <f>2*IF(ISNUMBER(D13),D13,B13)</f>
        <v>37</v>
      </c>
      <c r="H13" s="9" t="s">
        <v>22</v>
      </c>
      <c r="K13" s="5" t="s">
        <v>205</v>
      </c>
      <c r="M13" s="9">
        <v>1.33</v>
      </c>
    </row>
    <row r="14" spans="1:13" x14ac:dyDescent="0.2">
      <c r="A14" s="5"/>
      <c r="B14" s="42"/>
      <c r="D14" s="211"/>
      <c r="E14" s="207"/>
      <c r="H14" s="9"/>
      <c r="K14" s="36" t="s">
        <v>206</v>
      </c>
      <c r="L14" s="1"/>
      <c r="M14" s="3">
        <v>1.25</v>
      </c>
    </row>
    <row r="15" spans="1:13" x14ac:dyDescent="0.2">
      <c r="A15" s="5"/>
      <c r="B15" s="5"/>
      <c r="D15" s="211"/>
      <c r="E15" s="207"/>
      <c r="G15" t="s">
        <v>207</v>
      </c>
      <c r="H15" s="9"/>
    </row>
    <row r="16" spans="1:13" x14ac:dyDescent="0.2">
      <c r="A16" s="5" t="s">
        <v>178</v>
      </c>
      <c r="B16" s="42">
        <f>(0.85*238.81)+(0.15*299.16)</f>
        <v>247.86249999999998</v>
      </c>
      <c r="C16" t="s">
        <v>210</v>
      </c>
      <c r="D16" s="206"/>
      <c r="E16" s="207" t="s">
        <v>210</v>
      </c>
      <c r="G16" s="25">
        <f>IF(ISNUMBER(D16),D16,B16)</f>
        <v>247.86249999999998</v>
      </c>
      <c r="H16" s="9" t="s">
        <v>210</v>
      </c>
    </row>
    <row r="17" spans="1:12" x14ac:dyDescent="0.2">
      <c r="A17" s="5" t="s">
        <v>202</v>
      </c>
      <c r="B17" s="42">
        <f>(0.85*238.81)+(0.15*299.16)</f>
        <v>247.86249999999998</v>
      </c>
      <c r="C17" t="s">
        <v>210</v>
      </c>
      <c r="D17" s="206"/>
      <c r="E17" s="207" t="s">
        <v>210</v>
      </c>
      <c r="G17" s="25">
        <f>IF(ISNUMBER(D17),D17,B17)</f>
        <v>247.86249999999998</v>
      </c>
      <c r="H17" s="9" t="s">
        <v>210</v>
      </c>
    </row>
    <row r="18" spans="1:12" x14ac:dyDescent="0.2">
      <c r="A18" s="5"/>
      <c r="B18" s="5"/>
      <c r="D18" s="211"/>
      <c r="E18" s="207"/>
      <c r="H18" s="9"/>
    </row>
    <row r="19" spans="1:12" x14ac:dyDescent="0.2">
      <c r="A19" s="5"/>
      <c r="B19" s="5"/>
      <c r="D19" s="211"/>
      <c r="E19" s="207"/>
      <c r="H19" s="9"/>
      <c r="L19" s="218"/>
    </row>
    <row r="20" spans="1:12" x14ac:dyDescent="0.2">
      <c r="A20" s="5" t="s">
        <v>208</v>
      </c>
      <c r="B20" s="42">
        <f>(2*B12)*B16/1000</f>
        <v>9.1709124999999982</v>
      </c>
      <c r="C20" t="s">
        <v>211</v>
      </c>
      <c r="D20" s="212">
        <f>2*IF(ISNUMBER(D12),D12,B12)*G16/1000</f>
        <v>9.1709124999999982</v>
      </c>
      <c r="E20" s="207" t="s">
        <v>211</v>
      </c>
      <c r="H20" s="9"/>
    </row>
    <row r="21" spans="1:12" ht="16" thickBot="1" x14ac:dyDescent="0.25">
      <c r="A21" s="36" t="s">
        <v>209</v>
      </c>
      <c r="B21" s="43">
        <f>(2*B13)*B17/1000</f>
        <v>9.1709124999999982</v>
      </c>
      <c r="C21" s="1" t="s">
        <v>211</v>
      </c>
      <c r="D21" s="213">
        <f>2*IF(ISNUMBER(D13),D13,B13)*G17/1000</f>
        <v>9.1709124999999982</v>
      </c>
      <c r="E21" s="210" t="s">
        <v>211</v>
      </c>
      <c r="F21" s="1"/>
      <c r="G21" s="1"/>
      <c r="H21" s="3"/>
    </row>
    <row r="23" spans="1:12" ht="16" thickBot="1" x14ac:dyDescent="0.25"/>
    <row r="24" spans="1:12" ht="16" thickBot="1" x14ac:dyDescent="0.25">
      <c r="A24" s="40" t="s">
        <v>675</v>
      </c>
      <c r="B24" s="37" t="s">
        <v>172</v>
      </c>
      <c r="C24" s="38"/>
      <c r="D24" s="217" t="s">
        <v>173</v>
      </c>
      <c r="E24" s="194"/>
      <c r="J24" s="41"/>
    </row>
    <row r="25" spans="1:12" x14ac:dyDescent="0.2">
      <c r="A25" s="32" t="s">
        <v>177</v>
      </c>
      <c r="B25" s="174">
        <v>200</v>
      </c>
      <c r="C25" s="33" t="s">
        <v>22</v>
      </c>
      <c r="D25" s="214"/>
      <c r="E25" s="215" t="s">
        <v>22</v>
      </c>
      <c r="F25" s="34"/>
      <c r="G25" s="37" t="s">
        <v>215</v>
      </c>
      <c r="H25" s="38" t="s">
        <v>213</v>
      </c>
      <c r="I25" s="38" t="s">
        <v>216</v>
      </c>
      <c r="J25" s="39" t="s">
        <v>217</v>
      </c>
    </row>
    <row r="26" spans="1:12" ht="16" thickBot="1" x14ac:dyDescent="0.25">
      <c r="A26" s="36" t="s">
        <v>218</v>
      </c>
      <c r="B26" s="175">
        <f>(I32*0.9)+(J32*0.1)</f>
        <v>80.034500000000008</v>
      </c>
      <c r="C26" s="1" t="s">
        <v>219</v>
      </c>
      <c r="D26" s="216"/>
      <c r="E26" s="210" t="s">
        <v>219</v>
      </c>
      <c r="F26" s="3"/>
      <c r="G26" s="5"/>
      <c r="H26" s="25">
        <v>20</v>
      </c>
      <c r="I26" s="25">
        <v>141.52000000000001</v>
      </c>
      <c r="J26" s="27">
        <v>229.92</v>
      </c>
    </row>
    <row r="27" spans="1:12" x14ac:dyDescent="0.2">
      <c r="B27" s="25"/>
      <c r="G27" s="5"/>
      <c r="H27" s="25">
        <v>37.5</v>
      </c>
      <c r="I27" s="25">
        <v>81.63</v>
      </c>
      <c r="J27" s="27">
        <v>137.13</v>
      </c>
    </row>
    <row r="28" spans="1:12" x14ac:dyDescent="0.2">
      <c r="B28" s="25"/>
      <c r="G28" s="5"/>
      <c r="H28" s="25">
        <v>40</v>
      </c>
      <c r="I28" s="25">
        <v>77.349999999999994</v>
      </c>
      <c r="J28" s="27">
        <v>130.5</v>
      </c>
    </row>
    <row r="29" spans="1:12" x14ac:dyDescent="0.2">
      <c r="G29" s="5"/>
      <c r="H29" s="25">
        <v>50</v>
      </c>
      <c r="I29" s="25">
        <v>64.52</v>
      </c>
      <c r="J29" s="27">
        <v>110.62</v>
      </c>
    </row>
    <row r="30" spans="1:12" x14ac:dyDescent="0.2">
      <c r="G30" s="5"/>
      <c r="H30" s="25">
        <v>80</v>
      </c>
      <c r="I30" s="25">
        <v>45.27</v>
      </c>
      <c r="J30" s="27">
        <v>80.790000000000006</v>
      </c>
    </row>
    <row r="31" spans="1:12" x14ac:dyDescent="0.2">
      <c r="G31" s="5"/>
      <c r="H31" s="25">
        <v>100</v>
      </c>
      <c r="I31" s="25">
        <v>38.85</v>
      </c>
      <c r="J31" s="27">
        <v>70.849999999999994</v>
      </c>
    </row>
    <row r="32" spans="1:12" x14ac:dyDescent="0.2">
      <c r="G32" s="37" t="s">
        <v>214</v>
      </c>
      <c r="H32" s="45">
        <f>AVERAGE(H26:H31)</f>
        <v>54.583333333333336</v>
      </c>
      <c r="I32" s="45">
        <f t="shared" ref="I32:J32" si="2">AVERAGE(I26:I31)</f>
        <v>74.856666666666669</v>
      </c>
      <c r="J32" s="46">
        <f t="shared" si="2"/>
        <v>126.63499999999999</v>
      </c>
    </row>
    <row r="34" spans="1:3" x14ac:dyDescent="0.2">
      <c r="A34" s="7"/>
      <c r="C34" s="6"/>
    </row>
    <row r="35" spans="1:3" x14ac:dyDescent="0.2">
      <c r="A35" s="7"/>
      <c r="C35" s="6"/>
    </row>
    <row r="36" spans="1:3" x14ac:dyDescent="0.2">
      <c r="A36" s="7"/>
      <c r="C36" s="6"/>
    </row>
    <row r="37" spans="1:3" x14ac:dyDescent="0.2">
      <c r="A37" s="7"/>
      <c r="C37" s="6"/>
    </row>
    <row r="38" spans="1:3" x14ac:dyDescent="0.2">
      <c r="A38" s="7"/>
      <c r="C38" s="6"/>
    </row>
  </sheetData>
  <sheetProtection selectLockedCells="1"/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96E9-5B9D-4F44-820E-131B8A9D5CC4}">
  <dimension ref="A1:K213"/>
  <sheetViews>
    <sheetView workbookViewId="0">
      <selection activeCell="E11" sqref="E11"/>
    </sheetView>
  </sheetViews>
  <sheetFormatPr baseColWidth="10" defaultColWidth="8.83203125" defaultRowHeight="15" x14ac:dyDescent="0.2"/>
  <cols>
    <col min="1" max="1" width="4.5" customWidth="1"/>
    <col min="2" max="2" width="35.5" customWidth="1"/>
    <col min="3" max="3" width="12.83203125" customWidth="1"/>
    <col min="5" max="5" width="19.6640625" customWidth="1"/>
    <col min="7" max="7" width="9.5" customWidth="1"/>
    <col min="8" max="8" width="6" customWidth="1"/>
    <col min="9" max="9" width="7.33203125" customWidth="1"/>
    <col min="10" max="10" width="7.1640625" customWidth="1"/>
  </cols>
  <sheetData>
    <row r="1" spans="1:11" x14ac:dyDescent="0.2">
      <c r="A1" s="1" t="s">
        <v>3</v>
      </c>
      <c r="B1" s="1" t="s">
        <v>179</v>
      </c>
      <c r="C1" s="2" t="s">
        <v>180</v>
      </c>
      <c r="D1" s="3" t="s">
        <v>179</v>
      </c>
      <c r="E1" s="176" t="s">
        <v>181</v>
      </c>
      <c r="F1" s="1"/>
      <c r="G1" s="1" t="s">
        <v>182</v>
      </c>
      <c r="H1" s="1" t="s">
        <v>183</v>
      </c>
      <c r="I1" s="1" t="s">
        <v>184</v>
      </c>
      <c r="J1" s="1" t="s">
        <v>185</v>
      </c>
      <c r="K1" s="1"/>
    </row>
    <row r="2" spans="1:11" x14ac:dyDescent="0.2">
      <c r="A2" s="6">
        <f>Lähtöarvot!A2</f>
        <v>2</v>
      </c>
      <c r="B2" s="7" t="str">
        <f>Lähtöarvot!B2</f>
        <v>AMKA 16 -25 mm2</v>
      </c>
      <c r="C2" s="8">
        <f>Lähtöarvot!C2</f>
        <v>2477.4865100301026</v>
      </c>
      <c r="D2" s="9" t="str">
        <f>Lähtöarvot!D2</f>
        <v>km</v>
      </c>
      <c r="E2" s="13"/>
      <c r="F2" s="8"/>
      <c r="G2" s="8">
        <f>Lähtöarvot!E2</f>
        <v>2450.0207520301028</v>
      </c>
      <c r="H2" s="8">
        <f>Lähtöarvot!AI2</f>
        <v>18.341824999999996</v>
      </c>
      <c r="I2" s="8">
        <f>Lähtöarvot!AL2</f>
        <v>0</v>
      </c>
      <c r="J2" s="8">
        <f>Lähtöarvot!AO2</f>
        <v>9.1239329999999992</v>
      </c>
    </row>
    <row r="3" spans="1:11" x14ac:dyDescent="0.2">
      <c r="A3" s="6">
        <f>Lähtöarvot!A3</f>
        <v>3</v>
      </c>
      <c r="B3" s="7" t="str">
        <f>Lähtöarvot!B3</f>
        <v>AMKA 35 - 50 mm2</v>
      </c>
      <c r="C3" s="8">
        <f>Lähtöarvot!C3</f>
        <v>7201.7687870301024</v>
      </c>
      <c r="D3" s="9" t="str">
        <f>Lähtöarvot!D3</f>
        <v>km</v>
      </c>
      <c r="E3" s="13"/>
      <c r="F3" s="8"/>
      <c r="G3" s="8">
        <f>Lähtöarvot!E3</f>
        <v>7169.0207520301019</v>
      </c>
      <c r="H3" s="8">
        <f>Lähtöarvot!AI3</f>
        <v>18.341824999999996</v>
      </c>
      <c r="I3" s="8">
        <f>Lähtöarvot!AL3</f>
        <v>0</v>
      </c>
      <c r="J3" s="8">
        <f>Lähtöarvot!AO3</f>
        <v>14.406210000000002</v>
      </c>
    </row>
    <row r="4" spans="1:11" x14ac:dyDescent="0.2">
      <c r="A4" s="6">
        <f>Lähtöarvot!A4</f>
        <v>4</v>
      </c>
      <c r="B4" s="7" t="str">
        <f>Lähtöarvot!B4</f>
        <v>AMKA 70 mm2</v>
      </c>
      <c r="C4" s="8">
        <f>Lähtöarvot!C4</f>
        <v>11067.778946730103</v>
      </c>
      <c r="D4" s="9" t="str">
        <f>Lähtöarvot!D4</f>
        <v>km</v>
      </c>
      <c r="E4" s="13"/>
      <c r="F4" s="8"/>
      <c r="G4" s="8">
        <f>Lähtöarvot!E4</f>
        <v>11030.020752030103</v>
      </c>
      <c r="H4" s="8">
        <f>Lähtöarvot!AI4</f>
        <v>18.341824999999996</v>
      </c>
      <c r="I4" s="8">
        <f>Lähtöarvot!AL4</f>
        <v>0</v>
      </c>
      <c r="J4" s="8">
        <f>Lähtöarvot!AO4</f>
        <v>19.416369700000004</v>
      </c>
    </row>
    <row r="5" spans="1:11" s="203" customFormat="1" x14ac:dyDescent="0.2">
      <c r="A5" s="201">
        <f>Lähtöarvot!A5</f>
        <v>5</v>
      </c>
      <c r="B5" s="196" t="str">
        <f>Lähtöarvot!B5</f>
        <v>AMKA 95 mm2</v>
      </c>
      <c r="C5" s="197">
        <f>Lähtöarvot!C5</f>
        <v>0</v>
      </c>
      <c r="D5" s="198" t="str">
        <f>Lähtöarvot!D5</f>
        <v>km</v>
      </c>
      <c r="E5" s="202"/>
      <c r="F5" s="197"/>
      <c r="G5" s="197">
        <f>Lähtöarvot!E5</f>
        <v>0</v>
      </c>
      <c r="H5" s="197">
        <f>Lähtöarvot!AI5</f>
        <v>0</v>
      </c>
      <c r="I5" s="197">
        <f>Lähtöarvot!AL5</f>
        <v>0</v>
      </c>
      <c r="J5" s="197">
        <f>Lähtöarvot!AO5</f>
        <v>0</v>
      </c>
    </row>
    <row r="6" spans="1:11" x14ac:dyDescent="0.2">
      <c r="A6" s="6">
        <f>Lähtöarvot!A6</f>
        <v>6</v>
      </c>
      <c r="B6" s="7" t="str">
        <f>Lähtöarvot!B6</f>
        <v>AMKA 120 mm2</v>
      </c>
      <c r="C6" s="8">
        <f>Lähtöarvot!C6</f>
        <v>18227.879300630109</v>
      </c>
      <c r="D6" s="9" t="str">
        <f>Lähtöarvot!D6</f>
        <v>km</v>
      </c>
      <c r="E6" s="13"/>
      <c r="F6" s="8"/>
      <c r="G6" s="8">
        <f>Lähtöarvot!E6</f>
        <v>18180.020752030108</v>
      </c>
      <c r="H6" s="8">
        <f>Lähtöarvot!AI6</f>
        <v>18.341824999999996</v>
      </c>
      <c r="I6" s="8">
        <f>Lähtöarvot!AL6</f>
        <v>0</v>
      </c>
      <c r="J6" s="8">
        <f>Lähtöarvot!AO6</f>
        <v>29.516723600000006</v>
      </c>
    </row>
    <row r="7" spans="1:11" x14ac:dyDescent="0.2">
      <c r="A7" s="6">
        <f>Lähtöarvot!A7</f>
        <v>7</v>
      </c>
      <c r="B7" s="7" t="str">
        <f>Lähtöarvot!B7</f>
        <v>0,4 kV jakokaappi, In enintään 630 A: ei metallinen (leveys alle 400 mm)</v>
      </c>
      <c r="C7" s="8">
        <f>Lähtöarvot!C7</f>
        <v>112.4774768625</v>
      </c>
      <c r="D7" s="9" t="str">
        <f>Lähtöarvot!D7</f>
        <v>kpl</v>
      </c>
      <c r="E7" s="13"/>
      <c r="F7" s="8"/>
      <c r="G7" s="8">
        <f>Lähtöarvot!E7</f>
        <v>111.3311128</v>
      </c>
      <c r="H7" s="8">
        <f>Lähtöarvot!AI7</f>
        <v>1.1463640624999998</v>
      </c>
      <c r="I7" s="8">
        <f>Lähtöarvot!AL7</f>
        <v>0</v>
      </c>
      <c r="J7" s="8">
        <f>Lähtöarvot!AO7</f>
        <v>0</v>
      </c>
    </row>
    <row r="8" spans="1:11" x14ac:dyDescent="0.2">
      <c r="A8" s="6">
        <f>Lähtöarvot!A8</f>
        <v>8</v>
      </c>
      <c r="B8" s="7" t="str">
        <f>Lähtöarvot!B8</f>
        <v>0,4 kV jakokaappi, In enintään 630 A: ei metallinen 00 (400 - alle 600 mm)</v>
      </c>
      <c r="C8" s="8">
        <f>Lähtöarvot!C8</f>
        <v>136.04301529375002</v>
      </c>
      <c r="D8" s="9" t="str">
        <f>Lähtöarvot!D8</f>
        <v>kpl</v>
      </c>
      <c r="E8" s="13"/>
      <c r="F8" s="8"/>
      <c r="G8" s="8">
        <f>Lähtöarvot!E8</f>
        <v>134.32346920000001</v>
      </c>
      <c r="H8" s="8">
        <f>Lähtöarvot!AI8</f>
        <v>1.7195460937499998</v>
      </c>
      <c r="I8" s="8">
        <f>Lähtöarvot!AL8</f>
        <v>0</v>
      </c>
      <c r="J8" s="8">
        <f>Lähtöarvot!AO8</f>
        <v>0</v>
      </c>
    </row>
    <row r="9" spans="1:11" x14ac:dyDescent="0.2">
      <c r="A9" s="6">
        <f>Lähtöarvot!A9</f>
        <v>9</v>
      </c>
      <c r="B9" s="7" t="str">
        <f>Lähtöarvot!B9</f>
        <v>0,4 kV jakokaappi, In enintään 630 A: ei metallinen 0 (600 - alle 800 mm)</v>
      </c>
      <c r="C9" s="8">
        <f>Lähtöarvot!C9</f>
        <v>161.63724732499998</v>
      </c>
      <c r="D9" s="9" t="str">
        <f>Lähtöarvot!D9</f>
        <v>kpl</v>
      </c>
      <c r="E9" s="13"/>
      <c r="F9" s="8"/>
      <c r="G9" s="8">
        <f>Lähtöarvot!E9</f>
        <v>159.34451919999998</v>
      </c>
      <c r="H9" s="8">
        <f>Lähtöarvot!AI9</f>
        <v>2.2927281249999996</v>
      </c>
      <c r="I9" s="8">
        <f>Lähtöarvot!AL9</f>
        <v>0</v>
      </c>
      <c r="J9" s="8">
        <f>Lähtöarvot!AO9</f>
        <v>0</v>
      </c>
    </row>
    <row r="10" spans="1:11" x14ac:dyDescent="0.2">
      <c r="A10" s="6">
        <f>Lähtöarvot!A10</f>
        <v>10</v>
      </c>
      <c r="B10" s="7" t="str">
        <f>Lähtöarvot!B10</f>
        <v>0,4 kV jakokaappi, In enintään 630 A: ei metallinen 01 (800 - alle 990 mm)</v>
      </c>
      <c r="C10" s="8">
        <f>Lähtöarvot!C10</f>
        <v>211.28132015625002</v>
      </c>
      <c r="D10" s="9" t="str">
        <f>Lähtöarvot!D10</f>
        <v>kpl</v>
      </c>
      <c r="E10" s="13"/>
      <c r="F10" s="8"/>
      <c r="G10" s="8">
        <f>Lähtöarvot!E10</f>
        <v>208.41541000000001</v>
      </c>
      <c r="H10" s="8">
        <f>Lähtöarvot!AI10</f>
        <v>2.8659101562499991</v>
      </c>
      <c r="I10" s="8">
        <f>Lähtöarvot!AL10</f>
        <v>0</v>
      </c>
      <c r="J10" s="8">
        <f>Lähtöarvot!AO10</f>
        <v>0</v>
      </c>
    </row>
    <row r="11" spans="1:11" x14ac:dyDescent="0.2">
      <c r="A11" s="6">
        <f>Lähtöarvot!A11</f>
        <v>11</v>
      </c>
      <c r="B11" s="7" t="str">
        <f>Lähtöarvot!B11</f>
        <v>0,4 kV jakokaappi, In enintään 630 A: ei metallinen 02 tai 03 (990 - alle 1200 mm ja yli
1200 mm)</v>
      </c>
      <c r="C11" s="8">
        <f>Lähtöarvot!C11</f>
        <v>252.37608538750001</v>
      </c>
      <c r="D11" s="9" t="str">
        <f>Lähtöarvot!D11</f>
        <v>kpl</v>
      </c>
      <c r="E11" s="13"/>
      <c r="F11" s="8"/>
      <c r="G11" s="8">
        <f>Lähtöarvot!E11</f>
        <v>248.93699320000002</v>
      </c>
      <c r="H11" s="8">
        <f>Lähtöarvot!AI11</f>
        <v>3.4390921874999996</v>
      </c>
      <c r="I11" s="8">
        <f>Lähtöarvot!AL11</f>
        <v>0</v>
      </c>
      <c r="J11" s="8">
        <f>Lähtöarvot!AO11</f>
        <v>0</v>
      </c>
    </row>
    <row r="12" spans="1:11" x14ac:dyDescent="0.2">
      <c r="A12" s="6">
        <f>Lähtöarvot!A12</f>
        <v>17</v>
      </c>
      <c r="B12" s="7" t="str">
        <f>Lähtöarvot!B12</f>
        <v>0,4 kV jakokaappi, In 1000 A tai yli: ei metallinen 03 (1200 mm ja yli)</v>
      </c>
      <c r="C12" s="8">
        <f>Lähtöarvot!C12</f>
        <v>284.61111898750005</v>
      </c>
      <c r="D12" s="9" t="str">
        <f>Lähtöarvot!D12</f>
        <v>kpl</v>
      </c>
      <c r="E12" s="13"/>
      <c r="F12" s="8"/>
      <c r="G12" s="8">
        <f>Lähtöarvot!E12</f>
        <v>281.17202680000003</v>
      </c>
      <c r="H12" s="8">
        <f>Lähtöarvot!AI12</f>
        <v>3.4390921874999996</v>
      </c>
      <c r="I12" s="8">
        <f>Lähtöarvot!AL12</f>
        <v>0</v>
      </c>
      <c r="J12" s="8">
        <f>Lähtöarvot!AO12</f>
        <v>0</v>
      </c>
    </row>
    <row r="13" spans="1:11" x14ac:dyDescent="0.2">
      <c r="A13" s="6">
        <f>Lähtöarvot!A13</f>
        <v>18</v>
      </c>
      <c r="B13" s="7" t="str">
        <f>Lähtöarvot!B13</f>
        <v>0,4 kV jakokaappi, In 630 A: metallinen (leveys alle 400 mm)</v>
      </c>
      <c r="C13" s="8">
        <f>Lähtöarvot!C13</f>
        <v>119.3918768625</v>
      </c>
      <c r="D13" s="9" t="str">
        <f>Lähtöarvot!D13</f>
        <v>kpl</v>
      </c>
      <c r="E13" s="13"/>
      <c r="F13" s="8"/>
      <c r="G13" s="8">
        <f>Lähtöarvot!E13</f>
        <v>118.2455128</v>
      </c>
      <c r="H13" s="8">
        <f>Lähtöarvot!AI13</f>
        <v>1.1463640624999998</v>
      </c>
      <c r="I13" s="8">
        <f>Lähtöarvot!AL13</f>
        <v>0</v>
      </c>
      <c r="J13" s="8">
        <f>Lähtöarvot!AO13</f>
        <v>0</v>
      </c>
    </row>
    <row r="14" spans="1:11" x14ac:dyDescent="0.2">
      <c r="A14" s="6">
        <f>Lähtöarvot!A14</f>
        <v>19</v>
      </c>
      <c r="B14" s="7" t="str">
        <f>Lähtöarvot!B14</f>
        <v>0,4 kV jakokaappi, In 630 A: metallinen 00 (400 - alle 600 mm)</v>
      </c>
      <c r="C14" s="8">
        <f>Lähtöarvot!C14</f>
        <v>158.96505889375001</v>
      </c>
      <c r="D14" s="9" t="str">
        <f>Lähtöarvot!D14</f>
        <v>kpl</v>
      </c>
      <c r="E14" s="13"/>
      <c r="F14" s="8"/>
      <c r="G14" s="8">
        <f>Lähtöarvot!E14</f>
        <v>157.2455128</v>
      </c>
      <c r="H14" s="8">
        <f>Lähtöarvot!AI14</f>
        <v>1.7195460937499998</v>
      </c>
      <c r="I14" s="8">
        <f>Lähtöarvot!AL14</f>
        <v>0</v>
      </c>
      <c r="J14" s="8">
        <f>Lähtöarvot!AO14</f>
        <v>0</v>
      </c>
    </row>
    <row r="15" spans="1:11" x14ac:dyDescent="0.2">
      <c r="A15" s="6">
        <f>Lähtöarvot!A15</f>
        <v>20</v>
      </c>
      <c r="B15" s="7" t="str">
        <f>Lähtöarvot!B15</f>
        <v>0,4 kV jakokaappi, In 630 A: metallinen 0 (600 - alle 800 mm)</v>
      </c>
      <c r="C15" s="8">
        <f>Lähtöarvot!C15</f>
        <v>204.63944732499999</v>
      </c>
      <c r="D15" s="9" t="str">
        <f>Lähtöarvot!D15</f>
        <v>kpl</v>
      </c>
      <c r="E15" s="13"/>
      <c r="F15" s="8"/>
      <c r="G15" s="8">
        <f>Lähtöarvot!E15</f>
        <v>202.3467192</v>
      </c>
      <c r="H15" s="8">
        <f>Lähtöarvot!AI15</f>
        <v>2.2927281249999996</v>
      </c>
      <c r="I15" s="8">
        <f>Lähtöarvot!AL15</f>
        <v>0</v>
      </c>
      <c r="J15" s="8">
        <f>Lähtöarvot!AO15</f>
        <v>0</v>
      </c>
    </row>
    <row r="16" spans="1:11" x14ac:dyDescent="0.2">
      <c r="A16" s="6">
        <f>Lähtöarvot!A16</f>
        <v>21</v>
      </c>
      <c r="B16" s="7" t="str">
        <f>Lähtöarvot!B16</f>
        <v>0,4 kV jakokaappi, In 630 A: metallinen 01 (800 - alle 990 mm)</v>
      </c>
      <c r="C16" s="8">
        <f>Lähtöarvot!C16</f>
        <v>244.60982935625</v>
      </c>
      <c r="D16" s="9" t="str">
        <f>Lähtöarvot!D16</f>
        <v>kpl</v>
      </c>
      <c r="E16" s="13"/>
      <c r="F16" s="8"/>
      <c r="G16" s="8">
        <f>Lähtöarvot!E16</f>
        <v>241.74391919999999</v>
      </c>
      <c r="H16" s="8">
        <f>Lähtöarvot!AI16</f>
        <v>2.8659101562499991</v>
      </c>
      <c r="I16" s="8">
        <f>Lähtöarvot!AL16</f>
        <v>0</v>
      </c>
      <c r="J16" s="8">
        <f>Lähtöarvot!AO16</f>
        <v>0</v>
      </c>
    </row>
    <row r="17" spans="1:10" x14ac:dyDescent="0.2">
      <c r="A17" s="6">
        <f>Lähtöarvot!A17</f>
        <v>22</v>
      </c>
      <c r="B17" s="7" t="str">
        <f>Lähtöarvot!B17</f>
        <v>0,4 kV jakokaappi, In 630 A: metallinen 02 (990 - alle 1200 mm)</v>
      </c>
      <c r="C17" s="8">
        <f>Lähtöarvot!C17</f>
        <v>281.82595218750004</v>
      </c>
      <c r="D17" s="9" t="str">
        <f>Lähtöarvot!D17</f>
        <v>kpl</v>
      </c>
      <c r="E17" s="13"/>
      <c r="F17" s="8"/>
      <c r="G17" s="8">
        <f>Lähtöarvot!E17</f>
        <v>278.38686000000001</v>
      </c>
      <c r="H17" s="8">
        <f>Lähtöarvot!AI17</f>
        <v>3.4390921874999996</v>
      </c>
      <c r="I17" s="8">
        <f>Lähtöarvot!AL17</f>
        <v>0</v>
      </c>
      <c r="J17" s="8">
        <f>Lähtöarvot!AO17</f>
        <v>0</v>
      </c>
    </row>
    <row r="18" spans="1:10" x14ac:dyDescent="0.2">
      <c r="A18" s="6">
        <f>Lähtöarvot!A18</f>
        <v>23</v>
      </c>
      <c r="B18" s="7" t="str">
        <f>Lähtöarvot!B18</f>
        <v>0,4 kV jakokaappi, In 630 A: metallinen 03 (1200 mm ja yli)</v>
      </c>
      <c r="C18" s="8">
        <f>Lähtöarvot!C18</f>
        <v>336.32163538750001</v>
      </c>
      <c r="D18" s="9" t="str">
        <f>Lähtöarvot!D18</f>
        <v>kpl</v>
      </c>
      <c r="E18" s="13"/>
      <c r="F18" s="8"/>
      <c r="G18" s="8">
        <f>Lähtöarvot!E18</f>
        <v>332.88254319999999</v>
      </c>
      <c r="H18" s="8">
        <f>Lähtöarvot!AI18</f>
        <v>3.4390921874999996</v>
      </c>
      <c r="I18" s="8">
        <f>Lähtöarvot!AL18</f>
        <v>0</v>
      </c>
      <c r="J18" s="8">
        <f>Lähtöarvot!AO18</f>
        <v>0</v>
      </c>
    </row>
    <row r="19" spans="1:10" x14ac:dyDescent="0.2">
      <c r="A19" s="6">
        <f>Lähtöarvot!A19</f>
        <v>29</v>
      </c>
      <c r="B19" s="7" t="str">
        <f>Lähtöarvot!B19</f>
        <v>0,4 kV jakokaappi, In 1000 A tai yli: metallinen 03 (1200 mm ja yli)</v>
      </c>
      <c r="C19" s="8">
        <f>Lähtöarvot!C19</f>
        <v>368.55666898750002</v>
      </c>
      <c r="D19" s="9" t="str">
        <f>Lähtöarvot!D19</f>
        <v>kpl</v>
      </c>
      <c r="E19" s="13"/>
      <c r="F19" s="8"/>
      <c r="G19" s="8">
        <f>Lähtöarvot!E19</f>
        <v>365.11757679999999</v>
      </c>
      <c r="H19" s="8">
        <f>Lähtöarvot!AI19</f>
        <v>3.4390921874999996</v>
      </c>
      <c r="I19" s="8">
        <f>Lähtöarvot!AL19</f>
        <v>0</v>
      </c>
      <c r="J19" s="8">
        <f>Lähtöarvot!AO19</f>
        <v>0</v>
      </c>
    </row>
    <row r="20" spans="1:10" x14ac:dyDescent="0.2">
      <c r="A20" s="6">
        <f>Lähtöarvot!A20</f>
        <v>30</v>
      </c>
      <c r="B20" s="7" t="str">
        <f>Lähtöarvot!B20</f>
        <v>0,4 kV Maakaapeli 25 mm2 tai pienempi</v>
      </c>
      <c r="C20" s="8">
        <f>Lähtöarvot!C20</f>
        <v>1853.0523332</v>
      </c>
      <c r="D20" s="9" t="str">
        <f>Lähtöarvot!D20</f>
        <v>km</v>
      </c>
      <c r="E20" s="13"/>
      <c r="F20" s="8"/>
      <c r="G20" s="8">
        <f>Lähtöarvot!E20</f>
        <v>1843</v>
      </c>
      <c r="H20" s="8">
        <f>Lähtöarvot!AI20</f>
        <v>0</v>
      </c>
      <c r="I20" s="8">
        <f>Lähtöarvot!AL20</f>
        <v>0</v>
      </c>
      <c r="J20" s="8">
        <f>Lähtöarvot!AO20</f>
        <v>10.052333200000001</v>
      </c>
    </row>
    <row r="21" spans="1:10" x14ac:dyDescent="0.2">
      <c r="A21" s="6">
        <f>Lähtöarvot!A21</f>
        <v>31</v>
      </c>
      <c r="B21" s="7" t="str">
        <f>Lähtöarvot!B21</f>
        <v>0,4 kV Maakaapeli 35 mm2</v>
      </c>
      <c r="C21" s="8">
        <f>Lähtöarvot!C21</f>
        <v>3707.8611129000001</v>
      </c>
      <c r="D21" s="9" t="str">
        <f>Lähtöarvot!D21</f>
        <v>km</v>
      </c>
      <c r="E21" s="13"/>
      <c r="F21" s="8"/>
      <c r="G21" s="8">
        <f>Lähtöarvot!E21</f>
        <v>3696</v>
      </c>
      <c r="H21" s="8">
        <f>Lähtöarvot!AI21</f>
        <v>0</v>
      </c>
      <c r="I21" s="8">
        <f>Lähtöarvot!AL21</f>
        <v>0</v>
      </c>
      <c r="J21" s="8">
        <f>Lähtöarvot!AO21</f>
        <v>11.8611129</v>
      </c>
    </row>
    <row r="22" spans="1:10" x14ac:dyDescent="0.2">
      <c r="A22" s="6">
        <f>Lähtöarvot!A22</f>
        <v>32</v>
      </c>
      <c r="B22" s="7" t="str">
        <f>Lähtöarvot!B22</f>
        <v>0,4 kV Maakaapeli 50 mm2</v>
      </c>
      <c r="C22" s="8">
        <f>Lähtöarvot!C22</f>
        <v>5124.9664515000004</v>
      </c>
      <c r="D22" s="9" t="str">
        <f>Lähtöarvot!D22</f>
        <v>km</v>
      </c>
      <c r="E22" s="13"/>
      <c r="F22" s="8"/>
      <c r="G22" s="8">
        <f>Lähtöarvot!E22</f>
        <v>5110</v>
      </c>
      <c r="H22" s="8">
        <f>Lähtöarvot!AI22</f>
        <v>0</v>
      </c>
      <c r="I22" s="8">
        <f>Lähtöarvot!AL22</f>
        <v>0</v>
      </c>
      <c r="J22" s="8">
        <f>Lähtöarvot!AO22</f>
        <v>14.966451500000002</v>
      </c>
    </row>
    <row r="23" spans="1:10" x14ac:dyDescent="0.2">
      <c r="A23" s="6">
        <f>Lähtöarvot!A23</f>
        <v>33</v>
      </c>
      <c r="B23" s="7" t="str">
        <f>Lähtöarvot!B23</f>
        <v>0,4 kV Maakaapeli 70 mm2</v>
      </c>
      <c r="C23" s="8">
        <f>Lähtöarvot!C23</f>
        <v>7249.3127561000001</v>
      </c>
      <c r="D23" s="9" t="str">
        <f>Lähtöarvot!D23</f>
        <v>km</v>
      </c>
      <c r="E23" s="13"/>
      <c r="F23" s="8"/>
      <c r="G23" s="8">
        <f>Lähtöarvot!E23</f>
        <v>7229</v>
      </c>
      <c r="H23" s="8">
        <f>Lähtöarvot!AI23</f>
        <v>0</v>
      </c>
      <c r="I23" s="8">
        <f>Lähtöarvot!AL23</f>
        <v>0</v>
      </c>
      <c r="J23" s="8">
        <f>Lähtöarvot!AO23</f>
        <v>20.312756100000001</v>
      </c>
    </row>
    <row r="24" spans="1:10" x14ac:dyDescent="0.2">
      <c r="A24" s="6">
        <f>Lähtöarvot!A24</f>
        <v>34</v>
      </c>
      <c r="B24" s="7" t="str">
        <f>Lähtöarvot!B24</f>
        <v>0,4 kV Maakaapeli 95 mm2</v>
      </c>
      <c r="C24" s="8">
        <f>Lähtöarvot!C24</f>
        <v>9674.8115574999993</v>
      </c>
      <c r="D24" s="9" t="str">
        <f>Lähtöarvot!D24</f>
        <v>km</v>
      </c>
      <c r="E24" s="13"/>
      <c r="F24" s="8"/>
      <c r="G24" s="8">
        <f>Lähtöarvot!E24</f>
        <v>9648</v>
      </c>
      <c r="H24" s="8">
        <f>Lähtöarvot!AI24</f>
        <v>0</v>
      </c>
      <c r="I24" s="8">
        <f>Lähtöarvot!AL24</f>
        <v>0</v>
      </c>
      <c r="J24" s="8">
        <f>Lähtöarvot!AO24</f>
        <v>26.811557500000003</v>
      </c>
    </row>
    <row r="25" spans="1:10" x14ac:dyDescent="0.2">
      <c r="A25" s="6">
        <f>Lähtöarvot!A25</f>
        <v>35</v>
      </c>
      <c r="B25" s="7" t="str">
        <f>Lähtöarvot!B25</f>
        <v>0,4 kV Maakaapeli 120 mm2</v>
      </c>
      <c r="C25" s="8">
        <f>Lähtöarvot!C25</f>
        <v>12266.4064003</v>
      </c>
      <c r="D25" s="9" t="str">
        <f>Lähtöarvot!D25</f>
        <v>km</v>
      </c>
      <c r="E25" s="13"/>
      <c r="F25" s="8"/>
      <c r="G25" s="8">
        <f>Lähtöarvot!E25</f>
        <v>12233</v>
      </c>
      <c r="H25" s="8">
        <f>Lähtöarvot!AI25</f>
        <v>0</v>
      </c>
      <c r="I25" s="8">
        <f>Lähtöarvot!AL25</f>
        <v>0</v>
      </c>
      <c r="J25" s="8">
        <f>Lähtöarvot!AO25</f>
        <v>33.406400300000008</v>
      </c>
    </row>
    <row r="26" spans="1:10" x14ac:dyDescent="0.2">
      <c r="A26" s="6">
        <f>Lähtöarvot!A26</f>
        <v>36</v>
      </c>
      <c r="B26" s="7" t="str">
        <f>Lähtöarvot!B26</f>
        <v>0,4 kV Maakaapeli 150 mm2</v>
      </c>
      <c r="C26" s="8">
        <f>Lähtöarvot!C26</f>
        <v>15193.5067542</v>
      </c>
      <c r="D26" s="9" t="str">
        <f>Lähtöarvot!D26</f>
        <v>km</v>
      </c>
      <c r="E26" s="13"/>
      <c r="F26" s="8"/>
      <c r="G26" s="8">
        <f>Lähtöarvot!E26</f>
        <v>15150</v>
      </c>
      <c r="H26" s="8">
        <f>Lähtöarvot!AI26</f>
        <v>0</v>
      </c>
      <c r="I26" s="8">
        <f>Lähtöarvot!AL26</f>
        <v>0</v>
      </c>
      <c r="J26" s="8">
        <f>Lähtöarvot!AO26</f>
        <v>43.506754200000003</v>
      </c>
    </row>
    <row r="27" spans="1:10" x14ac:dyDescent="0.2">
      <c r="A27" s="6">
        <f>Lähtöarvot!A27</f>
        <v>37</v>
      </c>
      <c r="B27" s="7" t="str">
        <f>Lähtöarvot!B27</f>
        <v>0,4 kV Maakaapeli 185 mm2</v>
      </c>
      <c r="C27" s="8">
        <f>Lähtöarvot!C27</f>
        <v>18632.758742400001</v>
      </c>
      <c r="D27" s="9" t="str">
        <f>Lähtöarvot!D27</f>
        <v>km</v>
      </c>
      <c r="E27" s="13"/>
      <c r="F27" s="8"/>
      <c r="G27" s="8">
        <f>Lähtöarvot!E27</f>
        <v>18580</v>
      </c>
      <c r="H27" s="8">
        <f>Lähtöarvot!AI27</f>
        <v>0</v>
      </c>
      <c r="I27" s="8">
        <f>Lähtöarvot!AL27</f>
        <v>0</v>
      </c>
      <c r="J27" s="8">
        <f>Lähtöarvot!AO27</f>
        <v>52.758742400000003</v>
      </c>
    </row>
    <row r="28" spans="1:10" x14ac:dyDescent="0.2">
      <c r="A28" s="6">
        <f>Lähtöarvot!A28</f>
        <v>38</v>
      </c>
      <c r="B28" s="7" t="str">
        <f>Lähtöarvot!B28</f>
        <v>0,4 kV Maakaapeli 240 mm2</v>
      </c>
      <c r="C28" s="8">
        <f>Lähtöarvot!C28</f>
        <v>24764.1885315</v>
      </c>
      <c r="D28" s="9" t="str">
        <f>Lähtöarvot!D28</f>
        <v>km</v>
      </c>
      <c r="E28" s="13"/>
      <c r="F28" s="8"/>
      <c r="G28" s="8">
        <f>Lähtöarvot!E28</f>
        <v>24698</v>
      </c>
      <c r="H28" s="8">
        <f>Lähtöarvot!AI28</f>
        <v>0</v>
      </c>
      <c r="I28" s="8">
        <f>Lähtöarvot!AL28</f>
        <v>0</v>
      </c>
      <c r="J28" s="8">
        <f>Lähtöarvot!AO28</f>
        <v>66.188531500000011</v>
      </c>
    </row>
    <row r="29" spans="1:10" x14ac:dyDescent="0.2">
      <c r="A29" s="6">
        <f>Lähtöarvot!A29</f>
        <v>39</v>
      </c>
      <c r="B29" s="7" t="str">
        <f>Lähtöarvot!B29</f>
        <v>0,4 kV Maakaapeli 300 mm2</v>
      </c>
      <c r="C29" s="8">
        <f>Lähtöarvot!C29</f>
        <v>30064.254474400001</v>
      </c>
      <c r="D29" s="9" t="str">
        <f>Lähtöarvot!D29</f>
        <v>km</v>
      </c>
      <c r="E29" s="13"/>
      <c r="F29" s="8"/>
      <c r="G29" s="8">
        <f>Lähtöarvot!E29</f>
        <v>29975</v>
      </c>
      <c r="H29" s="8">
        <f>Lähtöarvot!AI29</f>
        <v>0</v>
      </c>
      <c r="I29" s="8">
        <f>Lähtöarvot!AL29</f>
        <v>0</v>
      </c>
      <c r="J29" s="8">
        <f>Lähtöarvot!AO29</f>
        <v>89.254474399999992</v>
      </c>
    </row>
    <row r="30" spans="1:10" x14ac:dyDescent="0.2">
      <c r="A30" s="6">
        <f>Lähtöarvot!A30</f>
        <v>40</v>
      </c>
      <c r="B30" s="7" t="str">
        <f>Lähtöarvot!B30</f>
        <v>0,4 kV haaroituskaappi</v>
      </c>
      <c r="C30" s="8">
        <f>Lähtöarvot!C30</f>
        <v>76.613864062499999</v>
      </c>
      <c r="D30" s="9" t="str">
        <f>Lähtöarvot!D30</f>
        <v>kpl</v>
      </c>
      <c r="E30" s="13"/>
      <c r="F30" s="8"/>
      <c r="G30" s="8">
        <f>Lähtöarvot!E30</f>
        <v>75.467500000000001</v>
      </c>
      <c r="H30" s="8">
        <f>Lähtöarvot!AI30</f>
        <v>1.1463640624999998</v>
      </c>
      <c r="I30" s="8">
        <f>Lähtöarvot!AL30</f>
        <v>0</v>
      </c>
      <c r="J30" s="8">
        <f>Lähtöarvot!AO30</f>
        <v>0</v>
      </c>
    </row>
    <row r="31" spans="1:10" x14ac:dyDescent="0.2">
      <c r="A31" s="6">
        <f>Lähtöarvot!A31</f>
        <v>41</v>
      </c>
      <c r="B31" s="7" t="str">
        <f>Lähtöarvot!B31</f>
        <v>0,4 kV Jakokaapin kiskoliitin</v>
      </c>
      <c r="C31" s="8">
        <f>Lähtöarvot!C31</f>
        <v>4.1463640625</v>
      </c>
      <c r="D31" s="9" t="str">
        <f>Lähtöarvot!D31</f>
        <v>kpl</v>
      </c>
      <c r="E31" s="13"/>
      <c r="F31" s="8"/>
      <c r="G31" s="8">
        <f>Lähtöarvot!E31</f>
        <v>3</v>
      </c>
      <c r="H31" s="8">
        <f>Lähtöarvot!AI31</f>
        <v>1.1463640624999998</v>
      </c>
      <c r="I31" s="8">
        <f>Lähtöarvot!AL31</f>
        <v>0</v>
      </c>
      <c r="J31" s="8">
        <f>Lähtöarvot!AO31</f>
        <v>0</v>
      </c>
    </row>
    <row r="32" spans="1:10" x14ac:dyDescent="0.2">
      <c r="A32" s="6">
        <f>Lähtöarvot!A32</f>
        <v>42</v>
      </c>
      <c r="B32" s="7" t="str">
        <f>Lähtöarvot!B32</f>
        <v>0,4 kV jonovarokekytkin enintään 100 A</v>
      </c>
      <c r="C32" s="8">
        <f>Lähtöarvot!C32</f>
        <v>16.2463640625</v>
      </c>
      <c r="D32" s="9" t="str">
        <f>Lähtöarvot!D32</f>
        <v>kpl</v>
      </c>
      <c r="E32" s="13"/>
      <c r="F32" s="8"/>
      <c r="G32" s="8">
        <f>Lähtöarvot!E32</f>
        <v>15.1</v>
      </c>
      <c r="H32" s="8">
        <f>Lähtöarvot!AI32</f>
        <v>1.1463640624999998</v>
      </c>
      <c r="I32" s="8">
        <f>Lähtöarvot!AL32</f>
        <v>0</v>
      </c>
      <c r="J32" s="8">
        <f>Lähtöarvot!AO32</f>
        <v>0</v>
      </c>
    </row>
    <row r="33" spans="1:10" x14ac:dyDescent="0.2">
      <c r="A33" s="6">
        <f>Lähtöarvot!A33</f>
        <v>43</v>
      </c>
      <c r="B33" s="7" t="str">
        <f>Lähtöarvot!B33</f>
        <v>0,4 kV jonovarokekytkin 160 A</v>
      </c>
      <c r="C33" s="8">
        <f>Lähtöarvot!C33</f>
        <v>18.206364062499997</v>
      </c>
      <c r="D33" s="9" t="str">
        <f>Lähtöarvot!D33</f>
        <v>kpl</v>
      </c>
      <c r="E33" s="13"/>
      <c r="F33" s="8"/>
      <c r="G33" s="8">
        <f>Lähtöarvot!E33</f>
        <v>17.059999999999999</v>
      </c>
      <c r="H33" s="8">
        <f>Lähtöarvot!AI33</f>
        <v>1.1463640624999998</v>
      </c>
      <c r="I33" s="8">
        <f>Lähtöarvot!AL33</f>
        <v>0</v>
      </c>
      <c r="J33" s="8">
        <f>Lähtöarvot!AO33</f>
        <v>0</v>
      </c>
    </row>
    <row r="34" spans="1:10" x14ac:dyDescent="0.2">
      <c r="A34" s="6">
        <f>Lähtöarvot!A34</f>
        <v>44</v>
      </c>
      <c r="B34" s="7" t="str">
        <f>Lähtöarvot!B34</f>
        <v>0,4 kV jonovarokekytkin 250 A</v>
      </c>
      <c r="C34" s="8">
        <f>Lähtöarvot!C34</f>
        <v>28.046364062499997</v>
      </c>
      <c r="D34" s="9" t="str">
        <f>Lähtöarvot!D34</f>
        <v>kpl</v>
      </c>
      <c r="E34" s="13"/>
      <c r="F34" s="8"/>
      <c r="G34" s="8">
        <f>Lähtöarvot!E34</f>
        <v>26.9</v>
      </c>
      <c r="H34" s="8">
        <f>Lähtöarvot!AI34</f>
        <v>1.1463640624999998</v>
      </c>
      <c r="I34" s="8">
        <f>Lähtöarvot!AL34</f>
        <v>0</v>
      </c>
      <c r="J34" s="8">
        <f>Lähtöarvot!AO34</f>
        <v>0</v>
      </c>
    </row>
    <row r="35" spans="1:10" x14ac:dyDescent="0.2">
      <c r="A35" s="6">
        <f>Lähtöarvot!A35</f>
        <v>45</v>
      </c>
      <c r="B35" s="7" t="str">
        <f>Lähtöarvot!B35</f>
        <v>0,4 kV jonovarokekytkin 400 A</v>
      </c>
      <c r="C35" s="8">
        <f>Lähtöarvot!C35</f>
        <v>39.2463640625</v>
      </c>
      <c r="D35" s="9" t="str">
        <f>Lähtöarvot!D35</f>
        <v>kpl</v>
      </c>
      <c r="E35" s="13"/>
      <c r="F35" s="8"/>
      <c r="G35" s="8">
        <f>Lähtöarvot!E35</f>
        <v>38.1</v>
      </c>
      <c r="H35" s="8">
        <f>Lähtöarvot!AI35</f>
        <v>1.1463640624999998</v>
      </c>
      <c r="I35" s="8">
        <f>Lähtöarvot!AL35</f>
        <v>0</v>
      </c>
      <c r="J35" s="8">
        <f>Lähtöarvot!AO35</f>
        <v>0</v>
      </c>
    </row>
    <row r="36" spans="1:10" x14ac:dyDescent="0.2">
      <c r="A36" s="6">
        <f>Lähtöarvot!A36</f>
        <v>46</v>
      </c>
      <c r="B36" s="7" t="str">
        <f>Lähtöarvot!B36</f>
        <v>0,4 kV jonovarokekytkin 630 A</v>
      </c>
      <c r="C36" s="8">
        <f>Lähtöarvot!C36</f>
        <v>46.866364062499997</v>
      </c>
      <c r="D36" s="9" t="str">
        <f>Lähtöarvot!D36</f>
        <v>kpl</v>
      </c>
      <c r="E36" s="13"/>
      <c r="F36" s="8"/>
      <c r="G36" s="8">
        <f>Lähtöarvot!E36</f>
        <v>45.72</v>
      </c>
      <c r="H36" s="8">
        <f>Lähtöarvot!AI36</f>
        <v>1.1463640624999998</v>
      </c>
      <c r="I36" s="8">
        <f>Lähtöarvot!AL36</f>
        <v>0</v>
      </c>
      <c r="J36" s="8">
        <f>Lähtöarvot!AO36</f>
        <v>0</v>
      </c>
    </row>
    <row r="37" spans="1:10" x14ac:dyDescent="0.2">
      <c r="A37" s="6">
        <f>Lähtöarvot!A37</f>
        <v>47</v>
      </c>
      <c r="B37" s="7" t="str">
        <f>Lähtöarvot!B37</f>
        <v>0,4 kV jonovarokekytkin yli 630 A</v>
      </c>
      <c r="C37" s="8">
        <f>Lähtöarvot!C37</f>
        <v>116.41545624999999</v>
      </c>
      <c r="D37" s="9" t="str">
        <f>Lähtöarvot!D37</f>
        <v>kpl</v>
      </c>
      <c r="E37" s="13"/>
      <c r="F37" s="8"/>
      <c r="G37" s="8">
        <f>Lähtöarvot!E37</f>
        <v>111.83</v>
      </c>
      <c r="H37" s="8">
        <f>Lähtöarvot!AI37</f>
        <v>4.5854562499999991</v>
      </c>
      <c r="I37" s="8">
        <f>Lähtöarvot!AL37</f>
        <v>0</v>
      </c>
      <c r="J37" s="8">
        <f>Lähtöarvot!AO37</f>
        <v>0</v>
      </c>
    </row>
    <row r="38" spans="1:10" s="203" customFormat="1" x14ac:dyDescent="0.2">
      <c r="A38" s="201">
        <f>Lähtöarvot!A38</f>
        <v>48</v>
      </c>
      <c r="B38" s="196" t="str">
        <f>Lähtöarvot!B38</f>
        <v>0,4 kV haaroituskotelo</v>
      </c>
      <c r="C38" s="197">
        <f>Lähtöarvot!C38</f>
        <v>0</v>
      </c>
      <c r="D38" s="198" t="str">
        <f>Lähtöarvot!D38</f>
        <v>kpl</v>
      </c>
      <c r="E38" s="202"/>
      <c r="F38" s="197"/>
      <c r="G38" s="197">
        <f>Lähtöarvot!E38</f>
        <v>0</v>
      </c>
      <c r="H38" s="197">
        <f>Lähtöarvot!AI38</f>
        <v>0</v>
      </c>
      <c r="I38" s="197">
        <f>Lähtöarvot!AL38</f>
        <v>0</v>
      </c>
      <c r="J38" s="197">
        <f>Lähtöarvot!AO38</f>
        <v>0</v>
      </c>
    </row>
    <row r="39" spans="1:10" s="203" customFormat="1" x14ac:dyDescent="0.2">
      <c r="A39" s="201">
        <f>Lähtöarvot!A39</f>
        <v>49</v>
      </c>
      <c r="B39" s="196" t="str">
        <f>Lähtöarvot!B39</f>
        <v>0,4 kV talovarokekotelo</v>
      </c>
      <c r="C39" s="197">
        <f>Lähtöarvot!C39</f>
        <v>0</v>
      </c>
      <c r="D39" s="198" t="str">
        <f>Lähtöarvot!D39</f>
        <v>kpl</v>
      </c>
      <c r="E39" s="202"/>
      <c r="F39" s="197"/>
      <c r="G39" s="197">
        <f>Lähtöarvot!E39</f>
        <v>0</v>
      </c>
      <c r="H39" s="197">
        <f>Lähtöarvot!AI39</f>
        <v>0</v>
      </c>
      <c r="I39" s="197">
        <f>Lähtöarvot!AL39</f>
        <v>0</v>
      </c>
      <c r="J39" s="197">
        <f>Lähtöarvot!AO39</f>
        <v>0</v>
      </c>
    </row>
    <row r="40" spans="1:10" s="203" customFormat="1" x14ac:dyDescent="0.2">
      <c r="A40" s="201">
        <f>Lähtöarvot!A40</f>
        <v>50</v>
      </c>
      <c r="B40" s="196" t="str">
        <f>Lähtöarvot!B40</f>
        <v>Pylväsvaroke</v>
      </c>
      <c r="C40" s="197">
        <f>Lähtöarvot!C40</f>
        <v>0</v>
      </c>
      <c r="D40" s="198" t="str">
        <f>Lähtöarvot!D40</f>
        <v>kpl</v>
      </c>
      <c r="E40" s="202"/>
      <c r="F40" s="197"/>
      <c r="G40" s="197">
        <f>Lähtöarvot!E40</f>
        <v>0</v>
      </c>
      <c r="H40" s="197">
        <f>Lähtöarvot!AI40</f>
        <v>0</v>
      </c>
      <c r="I40" s="197">
        <f>Lähtöarvot!AL40</f>
        <v>0</v>
      </c>
      <c r="J40" s="197">
        <f>Lähtöarvot!AO40</f>
        <v>0</v>
      </c>
    </row>
    <row r="41" spans="1:10" s="203" customFormat="1" x14ac:dyDescent="0.2">
      <c r="A41" s="201">
        <f>Lähtöarvot!A41</f>
        <v>51</v>
      </c>
      <c r="B41" s="196" t="str">
        <f>Lähtöarvot!B41</f>
        <v>0,4 kV Vesistökaapeli 35 mm2 tai pienempi</v>
      </c>
      <c r="C41" s="197">
        <f>Lähtöarvot!C41</f>
        <v>0</v>
      </c>
      <c r="D41" s="198" t="str">
        <f>Lähtöarvot!D41</f>
        <v>km</v>
      </c>
      <c r="E41" s="202"/>
      <c r="F41" s="197"/>
      <c r="G41" s="197">
        <f>Lähtöarvot!E41</f>
        <v>0</v>
      </c>
      <c r="H41" s="197">
        <f>Lähtöarvot!AI41</f>
        <v>0</v>
      </c>
      <c r="I41" s="197">
        <f>Lähtöarvot!AL41</f>
        <v>0</v>
      </c>
      <c r="J41" s="197">
        <f>Lähtöarvot!AO41</f>
        <v>0</v>
      </c>
    </row>
    <row r="42" spans="1:10" s="203" customFormat="1" x14ac:dyDescent="0.2">
      <c r="A42" s="201">
        <f>Lähtöarvot!A42</f>
        <v>52</v>
      </c>
      <c r="B42" s="196" t="str">
        <f>Lähtöarvot!B42</f>
        <v>0,4 kV Vesistökaapeli 50 mm2</v>
      </c>
      <c r="C42" s="197">
        <f>Lähtöarvot!C42</f>
        <v>0</v>
      </c>
      <c r="D42" s="198" t="str">
        <f>Lähtöarvot!D42</f>
        <v>km</v>
      </c>
      <c r="E42" s="202"/>
      <c r="F42" s="197"/>
      <c r="G42" s="197">
        <f>Lähtöarvot!E42</f>
        <v>0</v>
      </c>
      <c r="H42" s="197">
        <f>Lähtöarvot!AI42</f>
        <v>0</v>
      </c>
      <c r="I42" s="197">
        <f>Lähtöarvot!AL42</f>
        <v>0</v>
      </c>
      <c r="J42" s="197">
        <f>Lähtöarvot!AO42</f>
        <v>0</v>
      </c>
    </row>
    <row r="43" spans="1:10" s="203" customFormat="1" x14ac:dyDescent="0.2">
      <c r="A43" s="201">
        <f>Lähtöarvot!A43</f>
        <v>53</v>
      </c>
      <c r="B43" s="196" t="str">
        <f>Lähtöarvot!B43</f>
        <v>0,4 kV Vesistökaapeli 70 mm2</v>
      </c>
      <c r="C43" s="197">
        <f>Lähtöarvot!C43</f>
        <v>0</v>
      </c>
      <c r="D43" s="198" t="str">
        <f>Lähtöarvot!D43</f>
        <v>km</v>
      </c>
      <c r="E43" s="202"/>
      <c r="F43" s="197"/>
      <c r="G43" s="197">
        <f>Lähtöarvot!E43</f>
        <v>0</v>
      </c>
      <c r="H43" s="197">
        <f>Lähtöarvot!AI43</f>
        <v>0</v>
      </c>
      <c r="I43" s="197">
        <f>Lähtöarvot!AL43</f>
        <v>0</v>
      </c>
      <c r="J43" s="197">
        <f>Lähtöarvot!AO43</f>
        <v>0</v>
      </c>
    </row>
    <row r="44" spans="1:10" s="203" customFormat="1" x14ac:dyDescent="0.2">
      <c r="A44" s="201">
        <f>Lähtöarvot!A44</f>
        <v>54</v>
      </c>
      <c r="B44" s="196" t="str">
        <f>Lähtöarvot!B44</f>
        <v>0,4 kV Vesistökaapeli 95 mm2</v>
      </c>
      <c r="C44" s="197">
        <f>Lähtöarvot!C44</f>
        <v>0</v>
      </c>
      <c r="D44" s="198" t="str">
        <f>Lähtöarvot!D44</f>
        <v>km</v>
      </c>
      <c r="E44" s="202"/>
      <c r="F44" s="197"/>
      <c r="G44" s="197">
        <f>Lähtöarvot!E44</f>
        <v>0</v>
      </c>
      <c r="H44" s="197">
        <f>Lähtöarvot!AI44</f>
        <v>0</v>
      </c>
      <c r="I44" s="197">
        <f>Lähtöarvot!AL44</f>
        <v>0</v>
      </c>
      <c r="J44" s="197">
        <f>Lähtöarvot!AO44</f>
        <v>0</v>
      </c>
    </row>
    <row r="45" spans="1:10" s="203" customFormat="1" x14ac:dyDescent="0.2">
      <c r="A45" s="201">
        <f>Lähtöarvot!A45</f>
        <v>55</v>
      </c>
      <c r="B45" s="196" t="str">
        <f>Lähtöarvot!B45</f>
        <v>0,4 kV Vesistökaapeli 120 mm2</v>
      </c>
      <c r="C45" s="197">
        <f>Lähtöarvot!C45</f>
        <v>0</v>
      </c>
      <c r="D45" s="198" t="str">
        <f>Lähtöarvot!D45</f>
        <v>km</v>
      </c>
      <c r="E45" s="202"/>
      <c r="F45" s="197"/>
      <c r="G45" s="197">
        <f>Lähtöarvot!E45</f>
        <v>0</v>
      </c>
      <c r="H45" s="197">
        <f>Lähtöarvot!AI45</f>
        <v>0</v>
      </c>
      <c r="I45" s="197">
        <f>Lähtöarvot!AL45</f>
        <v>0</v>
      </c>
      <c r="J45" s="197">
        <f>Lähtöarvot!AO45</f>
        <v>0</v>
      </c>
    </row>
    <row r="46" spans="1:10" s="203" customFormat="1" x14ac:dyDescent="0.2">
      <c r="A46" s="201">
        <f>Lähtöarvot!A46</f>
        <v>56</v>
      </c>
      <c r="B46" s="196" t="str">
        <f>Lähtöarvot!B46</f>
        <v>0,4 kV Vesistökaapeli 150 mm2</v>
      </c>
      <c r="C46" s="197">
        <f>Lähtöarvot!C46</f>
        <v>0</v>
      </c>
      <c r="D46" s="198" t="str">
        <f>Lähtöarvot!D46</f>
        <v>km</v>
      </c>
      <c r="E46" s="202"/>
      <c r="F46" s="197"/>
      <c r="G46" s="197">
        <f>Lähtöarvot!E46</f>
        <v>0</v>
      </c>
      <c r="H46" s="197">
        <f>Lähtöarvot!AI46</f>
        <v>0</v>
      </c>
      <c r="I46" s="197">
        <f>Lähtöarvot!AL46</f>
        <v>0</v>
      </c>
      <c r="J46" s="197">
        <f>Lähtöarvot!AO46</f>
        <v>0</v>
      </c>
    </row>
    <row r="47" spans="1:10" s="203" customFormat="1" x14ac:dyDescent="0.2">
      <c r="A47" s="201">
        <f>Lähtöarvot!A47</f>
        <v>57</v>
      </c>
      <c r="B47" s="196" t="str">
        <f>Lähtöarvot!B47</f>
        <v>0,4 kV Vesistökaapeli 185 mm2</v>
      </c>
      <c r="C47" s="197">
        <f>Lähtöarvot!C47</f>
        <v>0</v>
      </c>
      <c r="D47" s="198" t="str">
        <f>Lähtöarvot!D47</f>
        <v>km</v>
      </c>
      <c r="E47" s="202"/>
      <c r="F47" s="197"/>
      <c r="G47" s="197">
        <f>Lähtöarvot!E47</f>
        <v>0</v>
      </c>
      <c r="H47" s="197">
        <f>Lähtöarvot!AI47</f>
        <v>0</v>
      </c>
      <c r="I47" s="197">
        <f>Lähtöarvot!AL47</f>
        <v>0</v>
      </c>
      <c r="J47" s="197">
        <f>Lähtöarvot!AO47</f>
        <v>0</v>
      </c>
    </row>
    <row r="48" spans="1:10" s="203" customFormat="1" x14ac:dyDescent="0.2">
      <c r="A48" s="201">
        <f>Lähtöarvot!A48</f>
        <v>58</v>
      </c>
      <c r="B48" s="196" t="str">
        <f>Lähtöarvot!B48</f>
        <v>0,4 kV Vesistökaapeli vähintään 240 mm2</v>
      </c>
      <c r="C48" s="197">
        <f>Lähtöarvot!C48</f>
        <v>0</v>
      </c>
      <c r="D48" s="198" t="str">
        <f>Lähtöarvot!D48</f>
        <v>km</v>
      </c>
      <c r="E48" s="202"/>
      <c r="F48" s="197"/>
      <c r="G48" s="197">
        <f>Lähtöarvot!E48</f>
        <v>0</v>
      </c>
      <c r="H48" s="197">
        <f>Lähtöarvot!AI48</f>
        <v>0</v>
      </c>
      <c r="I48" s="197">
        <f>Lähtöarvot!AL48</f>
        <v>0</v>
      </c>
      <c r="J48" s="197">
        <f>Lähtöarvot!AO48</f>
        <v>0</v>
      </c>
    </row>
    <row r="49" spans="1:10" s="203" customFormat="1" x14ac:dyDescent="0.2">
      <c r="A49" s="201">
        <f>Lähtöarvot!A49</f>
        <v>59</v>
      </c>
      <c r="B49" s="196" t="str">
        <f>Lähtöarvot!B49</f>
        <v>0,4 kV Armeerattu vesistökaapeli 35 mm2 tai pienempi</v>
      </c>
      <c r="C49" s="197">
        <f>Lähtöarvot!C49</f>
        <v>0</v>
      </c>
      <c r="D49" s="198" t="str">
        <f>Lähtöarvot!D49</f>
        <v>km</v>
      </c>
      <c r="E49" s="202"/>
      <c r="F49" s="197"/>
      <c r="G49" s="197">
        <f>Lähtöarvot!E49</f>
        <v>0</v>
      </c>
      <c r="H49" s="197">
        <f>Lähtöarvot!AI49</f>
        <v>0</v>
      </c>
      <c r="I49" s="197">
        <f>Lähtöarvot!AL49</f>
        <v>0</v>
      </c>
      <c r="J49" s="197">
        <f>Lähtöarvot!AO49</f>
        <v>0</v>
      </c>
    </row>
    <row r="50" spans="1:10" s="203" customFormat="1" x14ac:dyDescent="0.2">
      <c r="A50" s="201">
        <f>Lähtöarvot!A50</f>
        <v>60</v>
      </c>
      <c r="B50" s="196" t="str">
        <f>Lähtöarvot!B50</f>
        <v>0,4 kV Armeerattu vesistökaapeli 50 mm2</v>
      </c>
      <c r="C50" s="197">
        <f>Lähtöarvot!C50</f>
        <v>0</v>
      </c>
      <c r="D50" s="198" t="str">
        <f>Lähtöarvot!D50</f>
        <v>km</v>
      </c>
      <c r="E50" s="202"/>
      <c r="F50" s="197"/>
      <c r="G50" s="197">
        <f>Lähtöarvot!E50</f>
        <v>0</v>
      </c>
      <c r="H50" s="197">
        <f>Lähtöarvot!AI50</f>
        <v>0</v>
      </c>
      <c r="I50" s="197">
        <f>Lähtöarvot!AL50</f>
        <v>0</v>
      </c>
      <c r="J50" s="197">
        <f>Lähtöarvot!AO50</f>
        <v>0</v>
      </c>
    </row>
    <row r="51" spans="1:10" s="203" customFormat="1" x14ac:dyDescent="0.2">
      <c r="A51" s="201">
        <f>Lähtöarvot!A51</f>
        <v>61</v>
      </c>
      <c r="B51" s="196" t="str">
        <f>Lähtöarvot!B51</f>
        <v>0,4 kV Armeerattu vesistökaapeli 70 mm2</v>
      </c>
      <c r="C51" s="197">
        <f>Lähtöarvot!C51</f>
        <v>0</v>
      </c>
      <c r="D51" s="198" t="str">
        <f>Lähtöarvot!D51</f>
        <v>km</v>
      </c>
      <c r="E51" s="202"/>
      <c r="F51" s="197"/>
      <c r="G51" s="197">
        <f>Lähtöarvot!E51</f>
        <v>0</v>
      </c>
      <c r="H51" s="197">
        <f>Lähtöarvot!AI51</f>
        <v>0</v>
      </c>
      <c r="I51" s="197">
        <f>Lähtöarvot!AL51</f>
        <v>0</v>
      </c>
      <c r="J51" s="197">
        <f>Lähtöarvot!AO51</f>
        <v>0</v>
      </c>
    </row>
    <row r="52" spans="1:10" s="203" customFormat="1" x14ac:dyDescent="0.2">
      <c r="A52" s="201">
        <f>Lähtöarvot!A52</f>
        <v>62</v>
      </c>
      <c r="B52" s="196" t="str">
        <f>Lähtöarvot!B52</f>
        <v>0,4 kV Armeerattu vesistökaapeli 95 mm2</v>
      </c>
      <c r="C52" s="197">
        <f>Lähtöarvot!C52</f>
        <v>0</v>
      </c>
      <c r="D52" s="198" t="str">
        <f>Lähtöarvot!D52</f>
        <v>km</v>
      </c>
      <c r="E52" s="202"/>
      <c r="F52" s="197"/>
      <c r="G52" s="197">
        <f>Lähtöarvot!E52</f>
        <v>0</v>
      </c>
      <c r="H52" s="197">
        <f>Lähtöarvot!AI52</f>
        <v>0</v>
      </c>
      <c r="I52" s="197">
        <f>Lähtöarvot!AL52</f>
        <v>0</v>
      </c>
      <c r="J52" s="197">
        <f>Lähtöarvot!AO52</f>
        <v>0</v>
      </c>
    </row>
    <row r="53" spans="1:10" s="203" customFormat="1" x14ac:dyDescent="0.2">
      <c r="A53" s="201">
        <f>Lähtöarvot!A53</f>
        <v>63</v>
      </c>
      <c r="B53" s="196" t="str">
        <f>Lähtöarvot!B53</f>
        <v>0,4 kV Armeerattu vesistökaapeli 120 mm2</v>
      </c>
      <c r="C53" s="197">
        <f>Lähtöarvot!C53</f>
        <v>0</v>
      </c>
      <c r="D53" s="198" t="str">
        <f>Lähtöarvot!D53</f>
        <v>km</v>
      </c>
      <c r="E53" s="202"/>
      <c r="F53" s="197"/>
      <c r="G53" s="197">
        <f>Lähtöarvot!E53</f>
        <v>0</v>
      </c>
      <c r="H53" s="197">
        <f>Lähtöarvot!AI53</f>
        <v>0</v>
      </c>
      <c r="I53" s="197">
        <f>Lähtöarvot!AL53</f>
        <v>0</v>
      </c>
      <c r="J53" s="197">
        <f>Lähtöarvot!AO53</f>
        <v>0</v>
      </c>
    </row>
    <row r="54" spans="1:10" s="203" customFormat="1" x14ac:dyDescent="0.2">
      <c r="A54" s="201">
        <f>Lähtöarvot!A54</f>
        <v>64</v>
      </c>
      <c r="B54" s="196" t="str">
        <f>Lähtöarvot!B54</f>
        <v>0,4 kV Armeerattu vesistökaapeli 150 mm2</v>
      </c>
      <c r="C54" s="197">
        <f>Lähtöarvot!C54</f>
        <v>0</v>
      </c>
      <c r="D54" s="198" t="str">
        <f>Lähtöarvot!D54</f>
        <v>km</v>
      </c>
      <c r="E54" s="202"/>
      <c r="F54" s="197"/>
      <c r="G54" s="197">
        <f>Lähtöarvot!E54</f>
        <v>0</v>
      </c>
      <c r="H54" s="197">
        <f>Lähtöarvot!AI54</f>
        <v>0</v>
      </c>
      <c r="I54" s="197">
        <f>Lähtöarvot!AL54</f>
        <v>0</v>
      </c>
      <c r="J54" s="197">
        <f>Lähtöarvot!AO54</f>
        <v>0</v>
      </c>
    </row>
    <row r="55" spans="1:10" s="203" customFormat="1" x14ac:dyDescent="0.2">
      <c r="A55" s="201">
        <f>Lähtöarvot!A55</f>
        <v>65</v>
      </c>
      <c r="B55" s="196" t="str">
        <f>Lähtöarvot!B55</f>
        <v>0,4 kV Armeerattu vesistökaapeli 185 mm2</v>
      </c>
      <c r="C55" s="197">
        <f>Lähtöarvot!C55</f>
        <v>0</v>
      </c>
      <c r="D55" s="198" t="str">
        <f>Lähtöarvot!D55</f>
        <v>km</v>
      </c>
      <c r="E55" s="202"/>
      <c r="F55" s="197"/>
      <c r="G55" s="197">
        <f>Lähtöarvot!E55</f>
        <v>0</v>
      </c>
      <c r="H55" s="197">
        <f>Lähtöarvot!AI55</f>
        <v>0</v>
      </c>
      <c r="I55" s="197">
        <f>Lähtöarvot!AL55</f>
        <v>0</v>
      </c>
      <c r="J55" s="197">
        <f>Lähtöarvot!AO55</f>
        <v>0</v>
      </c>
    </row>
    <row r="56" spans="1:10" s="203" customFormat="1" x14ac:dyDescent="0.2">
      <c r="A56" s="201">
        <f>Lähtöarvot!A56</f>
        <v>66</v>
      </c>
      <c r="B56" s="196" t="str">
        <f>Lähtöarvot!B56</f>
        <v>0,4 kV Armeerattu vesistökaapeli vähintään 240 mm2</v>
      </c>
      <c r="C56" s="197">
        <f>Lähtöarvot!C56</f>
        <v>0</v>
      </c>
      <c r="D56" s="198" t="str">
        <f>Lähtöarvot!D56</f>
        <v>km</v>
      </c>
      <c r="E56" s="202"/>
      <c r="F56" s="197"/>
      <c r="G56" s="197">
        <f>Lähtöarvot!E56</f>
        <v>0</v>
      </c>
      <c r="H56" s="197">
        <f>Lähtöarvot!AI56</f>
        <v>0</v>
      </c>
      <c r="I56" s="197">
        <f>Lähtöarvot!AL56</f>
        <v>0</v>
      </c>
      <c r="J56" s="197">
        <f>Lähtöarvot!AO56</f>
        <v>0</v>
      </c>
    </row>
    <row r="57" spans="1:10" x14ac:dyDescent="0.2">
      <c r="A57" s="6">
        <f>Lähtöarvot!A57</f>
        <v>67</v>
      </c>
      <c r="B57" s="7" t="str">
        <f>Lähtöarvot!B57</f>
        <v>0,4 kV Vesistökaapelin rantautuminen</v>
      </c>
      <c r="C57" s="8">
        <f>Lähtöarvot!C57</f>
        <v>68.260000000000005</v>
      </c>
      <c r="D57" s="9" t="str">
        <f>Lähtöarvot!D57</f>
        <v>kpl</v>
      </c>
      <c r="E57" s="13"/>
      <c r="F57" s="8"/>
      <c r="G57" s="8">
        <f>Lähtöarvot!E57</f>
        <v>0</v>
      </c>
      <c r="H57" s="8">
        <f>Lähtöarvot!AI57</f>
        <v>0</v>
      </c>
      <c r="I57" s="8">
        <f>Lähtöarvot!AL57</f>
        <v>68.260000000000005</v>
      </c>
      <c r="J57" s="8">
        <f>Lähtöarvot!AO57</f>
        <v>0</v>
      </c>
    </row>
    <row r="58" spans="1:10" x14ac:dyDescent="0.2">
      <c r="A58" s="6">
        <f>Lähtöarvot!A58</f>
        <v>68</v>
      </c>
      <c r="B58" s="7" t="str">
        <f>Lähtöarvot!B58</f>
        <v>0,4 kV Armeeratun vesistökaapelin rantautuminen</v>
      </c>
      <c r="C58" s="8">
        <f>Lähtöarvot!C58</f>
        <v>68.260000000000005</v>
      </c>
      <c r="D58" s="9" t="str">
        <f>Lähtöarvot!D58</f>
        <v>kpl</v>
      </c>
      <c r="E58" s="13"/>
      <c r="F58" s="8"/>
      <c r="G58" s="8">
        <f>Lähtöarvot!E58</f>
        <v>0</v>
      </c>
      <c r="H58" s="8">
        <f>Lähtöarvot!AI58</f>
        <v>0</v>
      </c>
      <c r="I58" s="8">
        <f>Lähtöarvot!AL58</f>
        <v>68.260000000000005</v>
      </c>
      <c r="J58" s="8">
        <f>Lähtöarvot!AO58</f>
        <v>0</v>
      </c>
    </row>
    <row r="59" spans="1:10" x14ac:dyDescent="0.2">
      <c r="A59" s="6">
        <f>Lähtöarvot!A59</f>
        <v>69</v>
      </c>
      <c r="B59" s="7" t="str">
        <f>Lähtöarvot!B59</f>
        <v>1 / 0,4 kV Muuntaja vähintään 100 kVA</v>
      </c>
      <c r="C59" s="8">
        <f>Lähtöarvot!C59</f>
        <v>4186.1341880275004</v>
      </c>
      <c r="D59" s="9" t="str">
        <f>Lähtöarvot!D59</f>
        <v>kpl</v>
      </c>
      <c r="E59" s="13"/>
      <c r="F59" s="8"/>
      <c r="G59" s="8">
        <f>Lähtöarvot!E59</f>
        <v>4170.5039707775004</v>
      </c>
      <c r="H59" s="8">
        <f>Lähtöarvot!AI59</f>
        <v>4.5854562499999991</v>
      </c>
      <c r="I59" s="8">
        <f>Lähtöarvot!AL59</f>
        <v>0</v>
      </c>
      <c r="J59" s="8">
        <f>Lähtöarvot!AO59</f>
        <v>11.044761000000001</v>
      </c>
    </row>
    <row r="60" spans="1:10" x14ac:dyDescent="0.2">
      <c r="A60" s="6">
        <f>Lähtöarvot!A60</f>
        <v>70</v>
      </c>
      <c r="B60" s="7" t="str">
        <f>Lähtöarvot!B60</f>
        <v>1 / 0,4 kV Muuntaja 30 kVA</v>
      </c>
      <c r="C60" s="8">
        <f>Lähtöarvot!C60</f>
        <v>2065.0587443721997</v>
      </c>
      <c r="D60" s="9" t="str">
        <f>Lähtöarvot!D60</f>
        <v>kpl</v>
      </c>
      <c r="E60" s="13"/>
      <c r="F60" s="8"/>
      <c r="G60" s="8">
        <f>Lähtöarvot!E60</f>
        <v>2055.0309421222</v>
      </c>
      <c r="H60" s="8">
        <f>Lähtöarvot!AI60</f>
        <v>4.5854562499999991</v>
      </c>
      <c r="I60" s="8">
        <f>Lähtöarvot!AL60</f>
        <v>0</v>
      </c>
      <c r="J60" s="8">
        <f>Lähtöarvot!AO60</f>
        <v>5.4423460000000006</v>
      </c>
    </row>
    <row r="61" spans="1:10" x14ac:dyDescent="0.2">
      <c r="A61" s="6">
        <f>Lähtöarvot!A61</f>
        <v>71</v>
      </c>
      <c r="B61" s="7" t="str">
        <f>Lähtöarvot!B61</f>
        <v>1 / 0,4 kV Muuntaja 50 kVA</v>
      </c>
      <c r="C61" s="8">
        <f>Lähtöarvot!C61</f>
        <v>2792.2846107682999</v>
      </c>
      <c r="D61" s="9" t="str">
        <f>Lähtöarvot!D61</f>
        <v>kpl</v>
      </c>
      <c r="E61" s="13"/>
      <c r="F61" s="8"/>
      <c r="G61" s="8">
        <f>Lähtöarvot!E61</f>
        <v>2780.3359805182999</v>
      </c>
      <c r="H61" s="8">
        <f>Lähtöarvot!AI61</f>
        <v>4.5854562499999991</v>
      </c>
      <c r="I61" s="8">
        <f>Lähtöarvot!AL61</f>
        <v>0</v>
      </c>
      <c r="J61" s="8">
        <f>Lähtöarvot!AO61</f>
        <v>7.3631740000000008</v>
      </c>
    </row>
    <row r="62" spans="1:10" s="203" customFormat="1" x14ac:dyDescent="0.2">
      <c r="A62" s="201">
        <f>Lähtöarvot!A62</f>
        <v>72</v>
      </c>
      <c r="B62" s="196" t="str">
        <f>Lähtöarvot!B62</f>
        <v>1 kV / 0,4 kV pylväsmuuntamo</v>
      </c>
      <c r="C62" s="197">
        <f>Lähtöarvot!C62</f>
        <v>0</v>
      </c>
      <c r="D62" s="198" t="str">
        <f>Lähtöarvot!D62</f>
        <v>kpl</v>
      </c>
      <c r="E62" s="202"/>
      <c r="F62" s="197"/>
      <c r="G62" s="197">
        <f>Lähtöarvot!E62</f>
        <v>0</v>
      </c>
      <c r="H62" s="197">
        <f>Lähtöarvot!AI62</f>
        <v>0</v>
      </c>
      <c r="I62" s="197">
        <f>Lähtöarvot!AL62</f>
        <v>0</v>
      </c>
      <c r="J62" s="197">
        <f>Lähtöarvot!AO62</f>
        <v>0</v>
      </c>
    </row>
    <row r="63" spans="1:10" s="203" customFormat="1" x14ac:dyDescent="0.2">
      <c r="A63" s="201">
        <f>Lähtöarvot!A63</f>
        <v>73</v>
      </c>
      <c r="B63" s="196" t="str">
        <f>Lähtöarvot!B63</f>
        <v>1,0 kV suojalaitteisto</v>
      </c>
      <c r="C63" s="197">
        <f>Lähtöarvot!C63</f>
        <v>0</v>
      </c>
      <c r="D63" s="198" t="str">
        <f>Lähtöarvot!D63</f>
        <v>kpl</v>
      </c>
      <c r="E63" s="202"/>
      <c r="F63" s="197"/>
      <c r="G63" s="197">
        <f>Lähtöarvot!E63</f>
        <v>0</v>
      </c>
      <c r="H63" s="197">
        <f>Lähtöarvot!AI63</f>
        <v>0</v>
      </c>
      <c r="I63" s="197">
        <f>Lähtöarvot!AL63</f>
        <v>0</v>
      </c>
      <c r="J63" s="197">
        <f>Lähtöarvot!AO63</f>
        <v>0</v>
      </c>
    </row>
    <row r="64" spans="1:10" x14ac:dyDescent="0.2">
      <c r="A64" s="6">
        <f>Lähtöarvot!A64</f>
        <v>74</v>
      </c>
      <c r="B64" s="7" t="str">
        <f>Lähtöarvot!B64</f>
        <v>1 kV / 0,4 kV puistomuuntamo</v>
      </c>
      <c r="C64" s="8">
        <f>Lähtöarvot!C64</f>
        <v>1117.2030527166667</v>
      </c>
      <c r="D64" s="9" t="str">
        <f>Lähtöarvot!D64</f>
        <v>kpl</v>
      </c>
      <c r="E64" s="13"/>
      <c r="F64" s="8"/>
      <c r="G64" s="8">
        <f>Lähtöarvot!E64</f>
        <v>1078.3308166666666</v>
      </c>
      <c r="H64" s="8">
        <f>Lähtöarvot!AI64</f>
        <v>4.5854562499999991</v>
      </c>
      <c r="I64" s="8">
        <f>Lähtöarvot!AL64</f>
        <v>0</v>
      </c>
      <c r="J64" s="8">
        <f>Lähtöarvot!AO64</f>
        <v>34.286779800000005</v>
      </c>
    </row>
    <row r="65" spans="1:10" s="203" customFormat="1" x14ac:dyDescent="0.2">
      <c r="A65" s="201">
        <f>Lähtöarvot!A65</f>
        <v>75</v>
      </c>
      <c r="B65" s="196" t="str">
        <f>Lähtöarvot!B65</f>
        <v>Muuntaja 16 kVA, tier 2</v>
      </c>
      <c r="C65" s="197">
        <f>Lähtöarvot!C65</f>
        <v>0</v>
      </c>
      <c r="D65" s="198" t="str">
        <f>Lähtöarvot!D65</f>
        <v>kpl</v>
      </c>
      <c r="E65" s="202"/>
      <c r="F65" s="197"/>
      <c r="G65" s="197">
        <f>Lähtöarvot!E65</f>
        <v>0</v>
      </c>
      <c r="H65" s="197">
        <f>Lähtöarvot!AI65</f>
        <v>0</v>
      </c>
      <c r="I65" s="197">
        <f>Lähtöarvot!AL65</f>
        <v>0</v>
      </c>
      <c r="J65" s="197">
        <f>Lähtöarvot!AO65</f>
        <v>0</v>
      </c>
    </row>
    <row r="66" spans="1:10" x14ac:dyDescent="0.2">
      <c r="A66" s="6">
        <f>Lähtöarvot!A66</f>
        <v>76</v>
      </c>
      <c r="B66" s="7" t="str">
        <f>Lähtöarvot!B66</f>
        <v>Muuntaja 30 kVA, tier 2</v>
      </c>
      <c r="C66" s="8">
        <f>Lähtöarvot!C66</f>
        <v>2836.26876825</v>
      </c>
      <c r="D66" s="9" t="str">
        <f>Lähtöarvot!D66</f>
        <v>kpl</v>
      </c>
      <c r="E66" s="13"/>
      <c r="F66" s="8"/>
      <c r="G66" s="8">
        <f>Lähtöarvot!E66</f>
        <v>2824</v>
      </c>
      <c r="H66" s="8">
        <f>Lähtöarvot!AI66</f>
        <v>4.5854562499999991</v>
      </c>
      <c r="I66" s="8">
        <f>Lähtöarvot!AL66</f>
        <v>0</v>
      </c>
      <c r="J66" s="8">
        <f>Lähtöarvot!AO66</f>
        <v>7.6833120000000008</v>
      </c>
    </row>
    <row r="67" spans="1:10" x14ac:dyDescent="0.2">
      <c r="A67" s="6">
        <f>Lähtöarvot!A67</f>
        <v>77</v>
      </c>
      <c r="B67" s="7" t="str">
        <f>Lähtöarvot!B67</f>
        <v>Muuntaja 50 kVA, tier 2</v>
      </c>
      <c r="C67" s="8">
        <f>Lähtöarvot!C67</f>
        <v>4959.5493202500002</v>
      </c>
      <c r="D67" s="9" t="str">
        <f>Lähtöarvot!D67</f>
        <v>kpl</v>
      </c>
      <c r="E67" s="13"/>
      <c r="F67" s="8"/>
      <c r="G67" s="8">
        <f>Lähtöarvot!E67</f>
        <v>4946</v>
      </c>
      <c r="H67" s="8">
        <f>Lähtöarvot!AI67</f>
        <v>4.5854562499999991</v>
      </c>
      <c r="I67" s="8">
        <f>Lähtöarvot!AL67</f>
        <v>0</v>
      </c>
      <c r="J67" s="8">
        <f>Lähtöarvot!AO67</f>
        <v>8.9638640000000009</v>
      </c>
    </row>
    <row r="68" spans="1:10" x14ac:dyDescent="0.2">
      <c r="A68" s="6">
        <f>Lähtöarvot!A68</f>
        <v>78</v>
      </c>
      <c r="B68" s="7" t="str">
        <f>Lähtöarvot!B68</f>
        <v>Muuntaja 100 kVA, tier 2</v>
      </c>
      <c r="C68" s="8">
        <f>Lähtöarvot!C68</f>
        <v>6019.1913212500003</v>
      </c>
      <c r="D68" s="9" t="str">
        <f>Lähtöarvot!D68</f>
        <v>kpl</v>
      </c>
      <c r="E68" s="13"/>
      <c r="F68" s="8"/>
      <c r="G68" s="8">
        <f>Lähtöarvot!E68</f>
        <v>6001</v>
      </c>
      <c r="H68" s="8">
        <f>Lähtöarvot!AI68</f>
        <v>4.5854562499999991</v>
      </c>
      <c r="I68" s="8">
        <f>Lähtöarvot!AL68</f>
        <v>0</v>
      </c>
      <c r="J68" s="8">
        <f>Lähtöarvot!AO68</f>
        <v>13.605865000000001</v>
      </c>
    </row>
    <row r="69" spans="1:10" x14ac:dyDescent="0.2">
      <c r="A69" s="6">
        <f>Lähtöarvot!A69</f>
        <v>79</v>
      </c>
      <c r="B69" s="7" t="str">
        <f>Lähtöarvot!B69</f>
        <v>Muuntaja 200 kVA, tier 2</v>
      </c>
      <c r="C69" s="8">
        <f>Lähtöarvot!C69</f>
        <v>9909.2343572500013</v>
      </c>
      <c r="D69" s="9" t="str">
        <f>Lähtöarvot!D69</f>
        <v>kpl</v>
      </c>
      <c r="E69" s="13"/>
      <c r="F69" s="8"/>
      <c r="G69" s="8">
        <f>Lähtöarvot!E69</f>
        <v>9884</v>
      </c>
      <c r="H69" s="8">
        <f>Lähtöarvot!AI69</f>
        <v>4.5854562499999991</v>
      </c>
      <c r="I69" s="8">
        <f>Lähtöarvot!AL69</f>
        <v>0</v>
      </c>
      <c r="J69" s="8">
        <f>Lähtöarvot!AO69</f>
        <v>20.648901000000002</v>
      </c>
    </row>
    <row r="70" spans="1:10" x14ac:dyDescent="0.2">
      <c r="A70" s="6">
        <f>Lähtöarvot!A70</f>
        <v>80</v>
      </c>
      <c r="B70" s="7" t="str">
        <f>Lähtöarvot!B70</f>
        <v>Muuntaja 315 kVA, tier 2</v>
      </c>
      <c r="C70" s="8">
        <f>Lähtöarvot!C70</f>
        <v>12365.516634250002</v>
      </c>
      <c r="D70" s="9" t="str">
        <f>Lähtöarvot!D70</f>
        <v>kpl</v>
      </c>
      <c r="E70" s="13"/>
      <c r="F70" s="8"/>
      <c r="G70" s="8">
        <f>Lähtöarvot!E70</f>
        <v>12335</v>
      </c>
      <c r="H70" s="8">
        <f>Lähtöarvot!AI70</f>
        <v>4.5854562499999991</v>
      </c>
      <c r="I70" s="8">
        <f>Lähtöarvot!AL70</f>
        <v>0</v>
      </c>
      <c r="J70" s="8">
        <f>Lähtöarvot!AO70</f>
        <v>25.931178000000003</v>
      </c>
    </row>
    <row r="71" spans="1:10" x14ac:dyDescent="0.2">
      <c r="A71" s="6">
        <f>Lähtöarvot!A71</f>
        <v>81</v>
      </c>
      <c r="B71" s="7" t="str">
        <f>Lähtöarvot!B71</f>
        <v>Muuntaja 400 kVA, tier 2</v>
      </c>
      <c r="C71" s="8">
        <f>Lähtöarvot!C71</f>
        <v>14157.663194499999</v>
      </c>
      <c r="D71" s="9" t="str">
        <f>Lähtöarvot!D71</f>
        <v>kpl</v>
      </c>
      <c r="E71" s="13"/>
      <c r="F71" s="8"/>
      <c r="G71" s="8">
        <f>Lähtöarvot!E71</f>
        <v>14120</v>
      </c>
      <c r="H71" s="8">
        <f>Lähtöarvot!AI71</f>
        <v>9.1709124999999982</v>
      </c>
      <c r="I71" s="8">
        <f>Lähtöarvot!AL71</f>
        <v>0</v>
      </c>
      <c r="J71" s="8">
        <f>Lähtöarvot!AO71</f>
        <v>28.492282000000003</v>
      </c>
    </row>
    <row r="72" spans="1:10" x14ac:dyDescent="0.2">
      <c r="A72" s="6">
        <f>Lähtöarvot!A72</f>
        <v>82</v>
      </c>
      <c r="B72" s="7" t="str">
        <f>Lähtöarvot!B72</f>
        <v>Muuntaja 500 kVA, tier 2</v>
      </c>
      <c r="C72" s="8">
        <f>Lähtöarvot!C72</f>
        <v>15926.664919499999</v>
      </c>
      <c r="D72" s="9" t="str">
        <f>Lähtöarvot!D72</f>
        <v>kpl</v>
      </c>
      <c r="E72" s="13"/>
      <c r="F72" s="8"/>
      <c r="G72" s="8">
        <f>Lähtöarvot!E72</f>
        <v>15885</v>
      </c>
      <c r="H72" s="8">
        <f>Lähtöarvot!AI72</f>
        <v>9.1709124999999982</v>
      </c>
      <c r="I72" s="8">
        <f>Lähtöarvot!AL72</f>
        <v>0</v>
      </c>
      <c r="J72" s="8">
        <f>Lähtöarvot!AO72</f>
        <v>32.494006999999996</v>
      </c>
    </row>
    <row r="73" spans="1:10" x14ac:dyDescent="0.2">
      <c r="A73" s="6">
        <f>Lähtöarvot!A73</f>
        <v>83</v>
      </c>
      <c r="B73" s="7" t="str">
        <f>Lähtöarvot!B73</f>
        <v>Muuntaja 630 kVA, tier 2</v>
      </c>
      <c r="C73" s="8">
        <f>Lähtöarvot!C73</f>
        <v>17344.907610500002</v>
      </c>
      <c r="D73" s="9" t="str">
        <f>Lähtöarvot!D73</f>
        <v>kpl</v>
      </c>
      <c r="E73" s="13"/>
      <c r="F73" s="8"/>
      <c r="G73" s="8">
        <f>Lähtöarvot!E73</f>
        <v>17297</v>
      </c>
      <c r="H73" s="8">
        <f>Lähtöarvot!AI73</f>
        <v>9.1709124999999982</v>
      </c>
      <c r="I73" s="8">
        <f>Lähtöarvot!AL73</f>
        <v>0</v>
      </c>
      <c r="J73" s="8">
        <f>Lähtöarvot!AO73</f>
        <v>38.736698000000004</v>
      </c>
    </row>
    <row r="74" spans="1:10" x14ac:dyDescent="0.2">
      <c r="A74" s="6">
        <f>Lähtöarvot!A74</f>
        <v>84</v>
      </c>
      <c r="B74" s="7" t="str">
        <f>Lähtöarvot!B74</f>
        <v>Muuntaja 800 kVA, tier 2</v>
      </c>
      <c r="C74" s="8">
        <f>Lähtöarvot!C74</f>
        <v>20174.670094500001</v>
      </c>
      <c r="D74" s="9" t="str">
        <f>Lähtöarvot!D74</f>
        <v>kpl</v>
      </c>
      <c r="E74" s="13"/>
      <c r="F74" s="8"/>
      <c r="G74" s="8">
        <f>Lähtöarvot!E74</f>
        <v>20121</v>
      </c>
      <c r="H74" s="8">
        <f>Lähtöarvot!AI74</f>
        <v>9.1709124999999982</v>
      </c>
      <c r="I74" s="8">
        <f>Lähtöarvot!AL74</f>
        <v>0</v>
      </c>
      <c r="J74" s="8">
        <f>Lähtöarvot!AO74</f>
        <v>44.499182000000005</v>
      </c>
    </row>
    <row r="75" spans="1:10" x14ac:dyDescent="0.2">
      <c r="A75" s="6">
        <f>Lähtöarvot!A75</f>
        <v>85</v>
      </c>
      <c r="B75" s="7" t="str">
        <f>Lähtöarvot!B75</f>
        <v>Muuntaja 1000 kVA, tier 2</v>
      </c>
      <c r="C75" s="8">
        <f>Lähtöarvot!C75</f>
        <v>22302.594372500003</v>
      </c>
      <c r="D75" s="9" t="str">
        <f>Lähtöarvot!D75</f>
        <v>kpl</v>
      </c>
      <c r="E75" s="13"/>
      <c r="F75" s="8"/>
      <c r="G75" s="8">
        <f>Lähtöarvot!E75</f>
        <v>22239</v>
      </c>
      <c r="H75" s="8">
        <f>Lähtöarvot!AI75</f>
        <v>9.1709124999999982</v>
      </c>
      <c r="I75" s="8">
        <f>Lähtöarvot!AL75</f>
        <v>0</v>
      </c>
      <c r="J75" s="8">
        <f>Lähtöarvot!AO75</f>
        <v>54.423460000000006</v>
      </c>
    </row>
    <row r="76" spans="1:10" x14ac:dyDescent="0.2">
      <c r="A76" s="6">
        <f>Lähtöarvot!A76</f>
        <v>86</v>
      </c>
      <c r="B76" s="7" t="str">
        <f>Lähtöarvot!B76</f>
        <v>Muuntaja 1250 kVA, tier 2</v>
      </c>
      <c r="C76" s="8">
        <f>Lähtöarvot!C76</f>
        <v>23361.754441500001</v>
      </c>
      <c r="D76" s="9" t="str">
        <f>Lähtöarvot!D76</f>
        <v>kpl</v>
      </c>
      <c r="E76" s="13"/>
      <c r="F76" s="8"/>
      <c r="G76" s="8">
        <f>Lähtöarvot!E76</f>
        <v>23298</v>
      </c>
      <c r="H76" s="8">
        <f>Lähtöarvot!AI76</f>
        <v>9.1709124999999982</v>
      </c>
      <c r="I76" s="8">
        <f>Lähtöarvot!AL76</f>
        <v>0</v>
      </c>
      <c r="J76" s="8">
        <f>Lähtöarvot!AO76</f>
        <v>54.583529000000006</v>
      </c>
    </row>
    <row r="77" spans="1:10" x14ac:dyDescent="0.2">
      <c r="A77" s="6">
        <f>Lähtöarvot!A77</f>
        <v>87</v>
      </c>
      <c r="B77" s="7" t="str">
        <f>Lähtöarvot!B77</f>
        <v>Muuntaja 1600 kVA, tier 2</v>
      </c>
      <c r="C77" s="8">
        <f>Lähtöarvot!C77</f>
        <v>26900.8783745</v>
      </c>
      <c r="D77" s="9" t="str">
        <f>Lähtöarvot!D77</f>
        <v>kpl</v>
      </c>
      <c r="E77" s="13"/>
      <c r="F77" s="8"/>
      <c r="G77" s="8">
        <f>Lähtöarvot!E77</f>
        <v>26828</v>
      </c>
      <c r="H77" s="8">
        <f>Lähtöarvot!AI77</f>
        <v>9.1709124999999982</v>
      </c>
      <c r="I77" s="8">
        <f>Lähtöarvot!AL77</f>
        <v>0</v>
      </c>
      <c r="J77" s="8">
        <f>Lähtöarvot!AO77</f>
        <v>63.707462000000007</v>
      </c>
    </row>
    <row r="78" spans="1:10" x14ac:dyDescent="0.2">
      <c r="A78" s="6">
        <f>Lähtöarvot!A78</f>
        <v>88</v>
      </c>
      <c r="B78" s="7" t="str">
        <f>Lähtöarvot!B78</f>
        <v>20 / 0,4 kV Pylväsmuuntamo: 1-pylväsmuuntamo</v>
      </c>
      <c r="C78" s="8">
        <f>Lähtöarvot!C78</f>
        <v>480.33624715272106</v>
      </c>
      <c r="D78" s="9" t="str">
        <f>Lähtöarvot!D78</f>
        <v>kpl</v>
      </c>
      <c r="E78" s="13"/>
      <c r="F78" s="8"/>
      <c r="G78" s="8">
        <f>Lähtöarvot!E78</f>
        <v>475.75079090272106</v>
      </c>
      <c r="H78" s="8">
        <f>Lähtöarvot!AI78</f>
        <v>4.5854562499999991</v>
      </c>
      <c r="I78" s="8">
        <f>Lähtöarvot!AL78</f>
        <v>0</v>
      </c>
      <c r="J78" s="8">
        <f>Lähtöarvot!AO78</f>
        <v>0</v>
      </c>
    </row>
    <row r="79" spans="1:10" x14ac:dyDescent="0.2">
      <c r="A79" s="6">
        <f>Lähtöarvot!A79</f>
        <v>89</v>
      </c>
      <c r="B79" s="7" t="str">
        <f>Lähtöarvot!B79</f>
        <v>20 / 0,4 kV Pylväsmuuntamo: 2-pylväsmuuntamo</v>
      </c>
      <c r="C79" s="8">
        <f>Lähtöarvot!C79</f>
        <v>400.527963055442</v>
      </c>
      <c r="D79" s="9" t="str">
        <f>Lähtöarvot!D79</f>
        <v>kpl</v>
      </c>
      <c r="E79" s="13"/>
      <c r="F79" s="8"/>
      <c r="G79" s="8">
        <f>Lähtöarvot!E79</f>
        <v>395.94250680544201</v>
      </c>
      <c r="H79" s="8">
        <f>Lähtöarvot!AI79</f>
        <v>4.5854562499999991</v>
      </c>
      <c r="I79" s="8">
        <f>Lähtöarvot!AL79</f>
        <v>0</v>
      </c>
      <c r="J79" s="8">
        <f>Lähtöarvot!AO79</f>
        <v>0</v>
      </c>
    </row>
    <row r="80" spans="1:10" s="203" customFormat="1" x14ac:dyDescent="0.2">
      <c r="A80" s="201">
        <f>Lähtöarvot!A80</f>
        <v>90</v>
      </c>
      <c r="B80" s="196" t="str">
        <f>Lähtöarvot!B80</f>
        <v>20 / 0,4 kV Pylväsmuuntamo: 4-pylväsmuuntamo</v>
      </c>
      <c r="C80" s="197">
        <f>Lähtöarvot!C80</f>
        <v>0</v>
      </c>
      <c r="D80" s="198" t="str">
        <f>Lähtöarvot!D80</f>
        <v>kpl</v>
      </c>
      <c r="E80" s="202"/>
      <c r="F80" s="197"/>
      <c r="G80" s="197">
        <f>Lähtöarvot!E80</f>
        <v>0</v>
      </c>
      <c r="H80" s="197">
        <f>Lähtöarvot!AI80</f>
        <v>0</v>
      </c>
      <c r="I80" s="197">
        <f>Lähtöarvot!AL80</f>
        <v>0</v>
      </c>
      <c r="J80" s="197">
        <f>Lähtöarvot!AO80</f>
        <v>0</v>
      </c>
    </row>
    <row r="81" spans="1:10" x14ac:dyDescent="0.2">
      <c r="A81" s="6">
        <f>Lähtöarvot!A81</f>
        <v>91</v>
      </c>
      <c r="B81" s="7" t="str">
        <f>Lähtöarvot!B81</f>
        <v xml:space="preserve">SPARROW </v>
      </c>
      <c r="C81" s="8">
        <f>Lähtöarvot!C81</f>
        <v>1648.4231930227293</v>
      </c>
      <c r="D81" s="9" t="str">
        <f>Lähtöarvot!D81</f>
        <v>km</v>
      </c>
      <c r="E81" s="13"/>
      <c r="F81" s="8"/>
      <c r="G81" s="8">
        <f>Lähtöarvot!E81</f>
        <v>1596.8531260227294</v>
      </c>
      <c r="H81" s="8">
        <f>Lähtöarvot!AI81</f>
        <v>36.683649999999993</v>
      </c>
      <c r="I81" s="8">
        <f>Lähtöarvot!AL81</f>
        <v>0</v>
      </c>
      <c r="J81" s="8">
        <f>Lähtöarvot!AO81</f>
        <v>14.886417000000002</v>
      </c>
    </row>
    <row r="82" spans="1:10" x14ac:dyDescent="0.2">
      <c r="A82" s="6">
        <f>Lähtöarvot!A82</f>
        <v>92</v>
      </c>
      <c r="B82" s="7" t="str">
        <f>Lähtöarvot!B82</f>
        <v>RAVEN</v>
      </c>
      <c r="C82" s="8">
        <f>Lähtöarvot!C82</f>
        <v>4091.7825664640482</v>
      </c>
      <c r="D82" s="9" t="str">
        <f>Lähtöarvot!D82</f>
        <v>km</v>
      </c>
      <c r="E82" s="13"/>
      <c r="F82" s="8"/>
      <c r="G82" s="8">
        <f>Lähtöarvot!E82</f>
        <v>4036.370843464048</v>
      </c>
      <c r="H82" s="8">
        <f>Lähtöarvot!AI82</f>
        <v>36.683649999999993</v>
      </c>
      <c r="I82" s="8">
        <f>Lähtöarvot!AL82</f>
        <v>0</v>
      </c>
      <c r="J82" s="8">
        <f>Lähtöarvot!AO82</f>
        <v>18.728073000000002</v>
      </c>
    </row>
    <row r="83" spans="1:10" x14ac:dyDescent="0.2">
      <c r="A83" s="6">
        <f>Lähtöarvot!A83</f>
        <v>93</v>
      </c>
      <c r="B83" s="7" t="str">
        <f>Lähtöarvot!B83</f>
        <v>PIGEON</v>
      </c>
      <c r="C83" s="8">
        <f>Lähtöarvot!C83</f>
        <v>8062.2415483061941</v>
      </c>
      <c r="D83" s="9" t="str">
        <f>Lähtöarvot!D83</f>
        <v>km</v>
      </c>
      <c r="E83" s="13"/>
      <c r="F83" s="8"/>
      <c r="G83" s="8">
        <f>Lähtöarvot!E83</f>
        <v>8000.5871343061945</v>
      </c>
      <c r="H83" s="8">
        <f>Lähtöarvot!AI83</f>
        <v>36.683649999999993</v>
      </c>
      <c r="I83" s="8">
        <f>Lähtöarvot!AL83</f>
        <v>0</v>
      </c>
      <c r="J83" s="8">
        <f>Lähtöarvot!AO83</f>
        <v>24.970764000000003</v>
      </c>
    </row>
    <row r="84" spans="1:10" s="203" customFormat="1" x14ac:dyDescent="0.2">
      <c r="A84" s="201">
        <f>Lähtöarvot!A84</f>
        <v>94</v>
      </c>
      <c r="B84" s="196" t="str">
        <f>Lähtöarvot!B84</f>
        <v>AL132 mm2 tai suurempi</v>
      </c>
      <c r="C84" s="197">
        <f>Lähtöarvot!C84</f>
        <v>0</v>
      </c>
      <c r="D84" s="198" t="str">
        <f>Lähtöarvot!D84</f>
        <v>km</v>
      </c>
      <c r="E84" s="202"/>
      <c r="F84" s="197"/>
      <c r="G84" s="197">
        <f>Lähtöarvot!E84</f>
        <v>0</v>
      </c>
      <c r="H84" s="197">
        <f>Lähtöarvot!AI84</f>
        <v>0</v>
      </c>
      <c r="I84" s="197">
        <f>Lähtöarvot!AL84</f>
        <v>0</v>
      </c>
      <c r="J84" s="197">
        <f>Lähtöarvot!AO84</f>
        <v>0</v>
      </c>
    </row>
    <row r="85" spans="1:10" s="203" customFormat="1" x14ac:dyDescent="0.2">
      <c r="A85" s="201">
        <f>Lähtöarvot!A85</f>
        <v>95</v>
      </c>
      <c r="B85" s="196" t="str">
        <f>Lähtöarvot!B85</f>
        <v>Päällystetty avojohto 35 mm2</v>
      </c>
      <c r="C85" s="197">
        <f>Lähtöarvot!C85</f>
        <v>0</v>
      </c>
      <c r="D85" s="198" t="str">
        <f>Lähtöarvot!D85</f>
        <v>km</v>
      </c>
      <c r="E85" s="202"/>
      <c r="F85" s="197"/>
      <c r="G85" s="197">
        <f>Lähtöarvot!E85</f>
        <v>0</v>
      </c>
      <c r="H85" s="197">
        <f>Lähtöarvot!AI85</f>
        <v>0</v>
      </c>
      <c r="I85" s="197">
        <f>Lähtöarvot!AL85</f>
        <v>0</v>
      </c>
      <c r="J85" s="197">
        <f>Lähtöarvot!AO85</f>
        <v>0</v>
      </c>
    </row>
    <row r="86" spans="1:10" s="203" customFormat="1" x14ac:dyDescent="0.2">
      <c r="A86" s="201">
        <f>Lähtöarvot!A86</f>
        <v>96</v>
      </c>
      <c r="B86" s="196" t="str">
        <f>Lähtöarvot!B86</f>
        <v>Päällystetty avojohto 50 mm2</v>
      </c>
      <c r="C86" s="197">
        <f>Lähtöarvot!C86</f>
        <v>0</v>
      </c>
      <c r="D86" s="198" t="str">
        <f>Lähtöarvot!D86</f>
        <v>km</v>
      </c>
      <c r="E86" s="202"/>
      <c r="F86" s="197"/>
      <c r="G86" s="197">
        <f>Lähtöarvot!E86</f>
        <v>0</v>
      </c>
      <c r="H86" s="197">
        <f>Lähtöarvot!AI86</f>
        <v>0</v>
      </c>
      <c r="I86" s="197">
        <f>Lähtöarvot!AL86</f>
        <v>0</v>
      </c>
      <c r="J86" s="197">
        <f>Lähtöarvot!AO86</f>
        <v>0</v>
      </c>
    </row>
    <row r="87" spans="1:10" s="203" customFormat="1" x14ac:dyDescent="0.2">
      <c r="A87" s="201">
        <f>Lähtöarvot!A87</f>
        <v>97</v>
      </c>
      <c r="B87" s="196" t="str">
        <f>Lähtöarvot!B87</f>
        <v>Päällystetty avojohto 70 mm2</v>
      </c>
      <c r="C87" s="197">
        <f>Lähtöarvot!C87</f>
        <v>0</v>
      </c>
      <c r="D87" s="198" t="str">
        <f>Lähtöarvot!D87</f>
        <v>km</v>
      </c>
      <c r="E87" s="202"/>
      <c r="F87" s="197"/>
      <c r="G87" s="197">
        <f>Lähtöarvot!E87</f>
        <v>0</v>
      </c>
      <c r="H87" s="197">
        <f>Lähtöarvot!AI87</f>
        <v>0</v>
      </c>
      <c r="I87" s="197">
        <f>Lähtöarvot!AL87</f>
        <v>0</v>
      </c>
      <c r="J87" s="197">
        <f>Lähtöarvot!AO87</f>
        <v>0</v>
      </c>
    </row>
    <row r="88" spans="1:10" x14ac:dyDescent="0.2">
      <c r="A88" s="6">
        <f>Lähtöarvot!A88</f>
        <v>98</v>
      </c>
      <c r="B88" s="7" t="str">
        <f>Lähtöarvot!B88</f>
        <v>Päällystetty avojohto 95 mm2</v>
      </c>
      <c r="C88" s="8">
        <f>Lähtöarvot!C88</f>
        <v>6753.2711829044601</v>
      </c>
      <c r="D88" s="9" t="str">
        <f>Lähtöarvot!D88</f>
        <v>km</v>
      </c>
      <c r="E88" s="13"/>
      <c r="F88" s="8"/>
      <c r="G88" s="8">
        <f>Lähtöarvot!E88</f>
        <v>6676.6833724044609</v>
      </c>
      <c r="H88" s="8">
        <f>Lähtöarvot!AI88</f>
        <v>45.854562499999993</v>
      </c>
      <c r="I88" s="8">
        <f>Lähtöarvot!AL88</f>
        <v>0</v>
      </c>
      <c r="J88" s="8">
        <f>Lähtöarvot!AO88</f>
        <v>30.733248000000003</v>
      </c>
    </row>
    <row r="89" spans="1:10" s="203" customFormat="1" x14ac:dyDescent="0.2">
      <c r="A89" s="201">
        <f>Lähtöarvot!A89</f>
        <v>99</v>
      </c>
      <c r="B89" s="196" t="str">
        <f>Lähtöarvot!B89</f>
        <v>Päällystetty avojohto 120 mm2</v>
      </c>
      <c r="C89" s="197">
        <f>Lähtöarvot!C89</f>
        <v>0</v>
      </c>
      <c r="D89" s="198" t="str">
        <f>Lähtöarvot!D89</f>
        <v>km</v>
      </c>
      <c r="E89" s="202"/>
      <c r="F89" s="197"/>
      <c r="G89" s="197">
        <f>Lähtöarvot!E89</f>
        <v>0</v>
      </c>
      <c r="H89" s="197">
        <f>Lähtöarvot!AI89</f>
        <v>0</v>
      </c>
      <c r="I89" s="197">
        <f>Lähtöarvot!AL89</f>
        <v>0</v>
      </c>
      <c r="J89" s="197">
        <f>Lähtöarvot!AO89</f>
        <v>0</v>
      </c>
    </row>
    <row r="90" spans="1:10" x14ac:dyDescent="0.2">
      <c r="A90" s="6">
        <f>Lähtöarvot!A90</f>
        <v>100</v>
      </c>
      <c r="B90" s="7" t="str">
        <f>Lähtöarvot!B90</f>
        <v>Päällystetty avojohto 160 mm2</v>
      </c>
      <c r="C90" s="8">
        <f>Lähtöarvot!C90</f>
        <v>11228.206503426774</v>
      </c>
      <c r="D90" s="9" t="str">
        <f>Lähtöarvot!D90</f>
        <v>km</v>
      </c>
      <c r="E90" s="13"/>
      <c r="F90" s="8"/>
      <c r="G90" s="8">
        <f>Lähtöarvot!E90</f>
        <v>11130.009377926774</v>
      </c>
      <c r="H90" s="8">
        <f>Lähtöarvot!AI90</f>
        <v>45.854562499999993</v>
      </c>
      <c r="I90" s="8">
        <f>Lähtöarvot!AL90</f>
        <v>0</v>
      </c>
      <c r="J90" s="8">
        <f>Lähtöarvot!AO90</f>
        <v>52.342562999999998</v>
      </c>
    </row>
    <row r="91" spans="1:10" x14ac:dyDescent="0.2">
      <c r="A91" s="6">
        <f>Lähtöarvot!A91</f>
        <v>101</v>
      </c>
      <c r="B91" s="7" t="str">
        <f>Lähtöarvot!B91</f>
        <v>Yleiskaapeli 70 mm2 tai pienempi</v>
      </c>
      <c r="C91" s="8">
        <f>Lähtöarvot!C91</f>
        <v>10713.286503740401</v>
      </c>
      <c r="D91" s="9" t="str">
        <f>Lähtöarvot!D91</f>
        <v>km</v>
      </c>
      <c r="E91" s="13"/>
      <c r="F91" s="8"/>
      <c r="G91" s="8">
        <f>Lähtöarvot!E91</f>
        <v>10623.172862740401</v>
      </c>
      <c r="H91" s="8">
        <f>Lähtöarvot!AI91</f>
        <v>45.854562499999993</v>
      </c>
      <c r="I91" s="8">
        <f>Lähtöarvot!AL91</f>
        <v>0</v>
      </c>
      <c r="J91" s="8">
        <f>Lähtöarvot!AO91</f>
        <v>44.259078500000001</v>
      </c>
    </row>
    <row r="92" spans="1:10" x14ac:dyDescent="0.2">
      <c r="A92" s="6">
        <f>Lähtöarvot!A92</f>
        <v>102</v>
      </c>
      <c r="B92" s="7" t="str">
        <f>Lähtöarvot!B92</f>
        <v>Yleiskaapeli 95 mm2</v>
      </c>
      <c r="C92" s="8">
        <f>Lähtöarvot!C92</f>
        <v>13097.801312040401</v>
      </c>
      <c r="D92" s="9" t="str">
        <f>Lähtöarvot!D92</f>
        <v>km</v>
      </c>
      <c r="E92" s="13"/>
      <c r="F92" s="8"/>
      <c r="G92" s="8">
        <f>Lähtöarvot!E92</f>
        <v>13001.172862740401</v>
      </c>
      <c r="H92" s="8">
        <f>Lähtöarvot!AI92</f>
        <v>45.854562499999993</v>
      </c>
      <c r="I92" s="8">
        <f>Lähtöarvot!AL92</f>
        <v>0</v>
      </c>
      <c r="J92" s="8">
        <f>Lähtöarvot!AO92</f>
        <v>50.7738868</v>
      </c>
    </row>
    <row r="93" spans="1:10" s="203" customFormat="1" x14ac:dyDescent="0.2">
      <c r="A93" s="201">
        <f>Lähtöarvot!A93</f>
        <v>103</v>
      </c>
      <c r="B93" s="196" t="str">
        <f>Lähtöarvot!B93</f>
        <v>Yleiskaapeli 120 mm2</v>
      </c>
      <c r="C93" s="197">
        <f>Lähtöarvot!C93</f>
        <v>0</v>
      </c>
      <c r="D93" s="198" t="str">
        <f>Lähtöarvot!D93</f>
        <v>km</v>
      </c>
      <c r="E93" s="202"/>
      <c r="F93" s="197"/>
      <c r="G93" s="197">
        <f>Lähtöarvot!E93</f>
        <v>0</v>
      </c>
      <c r="H93" s="197">
        <f>Lähtöarvot!AI93</f>
        <v>0</v>
      </c>
      <c r="I93" s="197">
        <f>Lähtöarvot!AL93</f>
        <v>0</v>
      </c>
      <c r="J93" s="197">
        <f>Lähtöarvot!AO93</f>
        <v>0</v>
      </c>
    </row>
    <row r="94" spans="1:10" x14ac:dyDescent="0.2">
      <c r="A94" s="6">
        <f>Lähtöarvot!A94</f>
        <v>104</v>
      </c>
      <c r="B94" s="7" t="str">
        <f>Lähtöarvot!B94</f>
        <v>Yleiskaapeli 150 mm2</v>
      </c>
      <c r="C94" s="8">
        <f>Lähtöarvot!C94</f>
        <v>17396.424046440399</v>
      </c>
      <c r="D94" s="9" t="str">
        <f>Lähtöarvot!D94</f>
        <v>km</v>
      </c>
      <c r="E94" s="13"/>
      <c r="F94" s="8"/>
      <c r="G94" s="8">
        <f>Lähtöarvot!E94</f>
        <v>17284.172862740397</v>
      </c>
      <c r="H94" s="8">
        <f>Lähtöarvot!AI94</f>
        <v>45.854562499999993</v>
      </c>
      <c r="I94" s="8">
        <f>Lähtöarvot!AL94</f>
        <v>0</v>
      </c>
      <c r="J94" s="8">
        <f>Lähtöarvot!AO94</f>
        <v>66.396621199999998</v>
      </c>
    </row>
    <row r="95" spans="1:10" x14ac:dyDescent="0.2">
      <c r="A95" s="6">
        <f>Lähtöarvot!A95</f>
        <v>0</v>
      </c>
      <c r="B95" s="7" t="str">
        <f>Lähtöarvot!B95</f>
        <v>Johtoreitiltä raivatun puun aiheuttama hiilivaraston pieneneminen</v>
      </c>
      <c r="C95" s="8">
        <f>Lähtöarvot!C95</f>
        <v>28200</v>
      </c>
      <c r="D95" s="9" t="str">
        <f>Lähtöarvot!D95</f>
        <v>km</v>
      </c>
      <c r="E95" s="13"/>
      <c r="F95" s="8"/>
      <c r="G95" s="8">
        <f>Lähtöarvot!E95</f>
        <v>28200</v>
      </c>
      <c r="H95" s="8">
        <f>Lähtöarvot!AI95</f>
        <v>0</v>
      </c>
      <c r="I95" s="8">
        <f>Lähtöarvot!AL95</f>
        <v>0</v>
      </c>
      <c r="J95" s="8">
        <f>Lähtöarvot!AO95</f>
        <v>0</v>
      </c>
    </row>
    <row r="96" spans="1:10" x14ac:dyDescent="0.2">
      <c r="A96" s="6">
        <f>Lähtöarvot!A96</f>
        <v>105</v>
      </c>
      <c r="B96" s="7" t="str">
        <f>Lähtöarvot!B96</f>
        <v>20 kV Ilmajohtoverkon erotinasema: 1 erotin</v>
      </c>
      <c r="C96" s="8">
        <f>Lähtöarvot!C96</f>
        <v>65.383886666530032</v>
      </c>
      <c r="D96" s="9" t="str">
        <f>Lähtöarvot!D96</f>
        <v>kpl</v>
      </c>
      <c r="E96" s="13"/>
      <c r="F96" s="8"/>
      <c r="G96" s="8">
        <f>Lähtöarvot!E96</f>
        <v>56.212974166530032</v>
      </c>
      <c r="H96" s="8">
        <f>Lähtöarvot!AI96</f>
        <v>9.1709124999999982</v>
      </c>
      <c r="I96" s="8">
        <f>Lähtöarvot!AL96</f>
        <v>0</v>
      </c>
      <c r="J96" s="8">
        <f>Lähtöarvot!AO96</f>
        <v>0</v>
      </c>
    </row>
    <row r="97" spans="1:10" x14ac:dyDescent="0.2">
      <c r="A97" s="6">
        <f>Lähtöarvot!A97</f>
        <v>106</v>
      </c>
      <c r="B97" s="7" t="str">
        <f>Lähtöarvot!B97</f>
        <v>20 kV Ilmajohtoverkon erotinasema: 2 erotinta</v>
      </c>
      <c r="C97" s="8">
        <f>Lähtöarvot!C97</f>
        <v>253.77373824979506</v>
      </c>
      <c r="D97" s="9" t="str">
        <f>Lähtöarvot!D97</f>
        <v>kpl</v>
      </c>
      <c r="E97" s="13"/>
      <c r="F97" s="8"/>
      <c r="G97" s="8">
        <f>Lähtöarvot!E97</f>
        <v>235.43191324979506</v>
      </c>
      <c r="H97" s="8">
        <f>Lähtöarvot!AI97</f>
        <v>18.341824999999996</v>
      </c>
      <c r="I97" s="8">
        <f>Lähtöarvot!AL97</f>
        <v>0</v>
      </c>
      <c r="J97" s="8">
        <f>Lähtöarvot!AO97</f>
        <v>0</v>
      </c>
    </row>
    <row r="98" spans="1:10" x14ac:dyDescent="0.2">
      <c r="A98" s="6">
        <f>Lähtöarvot!A98</f>
        <v>107</v>
      </c>
      <c r="B98" s="7" t="str">
        <f>Lähtöarvot!B98</f>
        <v>20 kV Ilmajohtoverkon erotinasema: 3 erotinta</v>
      </c>
      <c r="C98" s="8">
        <f>Lähtöarvot!C98</f>
        <v>379.52967733305996</v>
      </c>
      <c r="D98" s="9" t="str">
        <f>Lähtöarvot!D98</f>
        <v>kpl</v>
      </c>
      <c r="E98" s="13"/>
      <c r="F98" s="8"/>
      <c r="G98" s="8">
        <f>Lähtöarvot!E98</f>
        <v>361.18785233305999</v>
      </c>
      <c r="H98" s="8">
        <f>Lähtöarvot!AI98</f>
        <v>18.341824999999996</v>
      </c>
      <c r="I98" s="8">
        <f>Lähtöarvot!AL98</f>
        <v>0</v>
      </c>
      <c r="J98" s="8">
        <f>Lähtöarvot!AO98</f>
        <v>0</v>
      </c>
    </row>
    <row r="99" spans="1:10" x14ac:dyDescent="0.2">
      <c r="A99" s="6">
        <f>Lähtöarvot!A99</f>
        <v>108</v>
      </c>
      <c r="B99" s="7" t="str">
        <f>Lähtöarvot!B99</f>
        <v>20 kV Ilmajohtoverkon erotinasema: 4 erotinta</v>
      </c>
      <c r="C99" s="8">
        <f>Lähtöarvot!C99</f>
        <v>761.58358983306016</v>
      </c>
      <c r="D99" s="9" t="str">
        <f>Lähtöarvot!D99</f>
        <v>kpl</v>
      </c>
      <c r="E99" s="13"/>
      <c r="F99" s="8"/>
      <c r="G99" s="8">
        <f>Lähtöarvot!E99</f>
        <v>734.0708523330602</v>
      </c>
      <c r="H99" s="8">
        <f>Lähtöarvot!AI99</f>
        <v>27.512737499999993</v>
      </c>
      <c r="I99" s="8">
        <f>Lähtöarvot!AL99</f>
        <v>0</v>
      </c>
      <c r="J99" s="8">
        <f>Lähtöarvot!AO99</f>
        <v>0</v>
      </c>
    </row>
    <row r="100" spans="1:10" s="203" customFormat="1" x14ac:dyDescent="0.2">
      <c r="A100" s="201">
        <f>Lähtöarvot!A100</f>
        <v>109</v>
      </c>
      <c r="B100" s="196" t="str">
        <f>Lähtöarvot!B100</f>
        <v>20 kV Ilmajohtoverkon johtoerotin: 1-vaiheisesti erotettavissa oleva 3-vaiheinen huoltoerotin</v>
      </c>
      <c r="C100" s="197">
        <f>Lähtöarvot!C100</f>
        <v>0</v>
      </c>
      <c r="D100" s="198" t="str">
        <f>Lähtöarvot!D100</f>
        <v>kpl</v>
      </c>
      <c r="E100" s="202"/>
      <c r="F100" s="197"/>
      <c r="G100" s="197">
        <f>Lähtöarvot!E100</f>
        <v>0</v>
      </c>
      <c r="H100" s="197">
        <f>Lähtöarvot!AI100</f>
        <v>0</v>
      </c>
      <c r="I100" s="197">
        <f>Lähtöarvot!AL100</f>
        <v>0</v>
      </c>
      <c r="J100" s="197">
        <f>Lähtöarvot!AO100</f>
        <v>0</v>
      </c>
    </row>
    <row r="101" spans="1:10" x14ac:dyDescent="0.2">
      <c r="A101" s="6">
        <f>Lähtöarvot!A101</f>
        <v>110</v>
      </c>
      <c r="B101" s="7" t="str">
        <f>Lähtöarvot!B101</f>
        <v>20 kV Ilmajohtoverkon johtoerotin: kevyt</v>
      </c>
      <c r="C101" s="8">
        <f>Lähtöarvot!C101</f>
        <v>286.60374758326503</v>
      </c>
      <c r="D101" s="9" t="str">
        <f>Lähtöarvot!D101</f>
        <v>kpl</v>
      </c>
      <c r="E101" s="13"/>
      <c r="F101" s="8"/>
      <c r="G101" s="8">
        <f>Lähtöarvot!E101</f>
        <v>277.43283508326505</v>
      </c>
      <c r="H101" s="8">
        <f>Lähtöarvot!AI101</f>
        <v>9.1709124999999982</v>
      </c>
      <c r="I101" s="8">
        <f>Lähtöarvot!AL101</f>
        <v>0</v>
      </c>
      <c r="J101" s="8">
        <f>Lähtöarvot!AO101</f>
        <v>0</v>
      </c>
    </row>
    <row r="102" spans="1:10" x14ac:dyDescent="0.2">
      <c r="A102" s="6">
        <f>Lähtöarvot!A102</f>
        <v>111</v>
      </c>
      <c r="B102" s="7" t="str">
        <f>Lähtöarvot!B102</f>
        <v>20 kV Ilmajohtoverkon johtoerotin: katkaisukammiolla varustettu</v>
      </c>
      <c r="C102" s="8">
        <f>Lähtöarvot!C102</f>
        <v>65.383886666530032</v>
      </c>
      <c r="D102" s="9" t="str">
        <f>Lähtöarvot!D102</f>
        <v>kpl</v>
      </c>
      <c r="E102" s="13"/>
      <c r="F102" s="8"/>
      <c r="G102" s="8">
        <f>Lähtöarvot!E102</f>
        <v>56.212974166530032</v>
      </c>
      <c r="H102" s="8">
        <f>Lähtöarvot!AI102</f>
        <v>9.1709124999999982</v>
      </c>
      <c r="I102" s="8">
        <f>Lähtöarvot!AL102</f>
        <v>0</v>
      </c>
      <c r="J102" s="8">
        <f>Lähtöarvot!AO102</f>
        <v>0</v>
      </c>
    </row>
    <row r="103" spans="1:10" s="203" customFormat="1" x14ac:dyDescent="0.2">
      <c r="A103" s="201">
        <f>Lähtöarvot!A103</f>
        <v>112</v>
      </c>
      <c r="B103" s="196" t="str">
        <f>Lähtöarvot!B103</f>
        <v>20 kV Ilmajohtoverkon ilmajohtoverkon vianpaikannuslaitteisto: erotinkohtainen</v>
      </c>
      <c r="C103" s="197">
        <f>Lähtöarvot!C103</f>
        <v>0</v>
      </c>
      <c r="D103" s="198" t="str">
        <f>Lähtöarvot!D103</f>
        <v>kpl</v>
      </c>
      <c r="E103" s="202"/>
      <c r="F103" s="197"/>
      <c r="G103" s="197">
        <f>Lähtöarvot!E103</f>
        <v>0</v>
      </c>
      <c r="H103" s="197">
        <f>Lähtöarvot!AI103</f>
        <v>0</v>
      </c>
      <c r="I103" s="197">
        <f>Lähtöarvot!AL103</f>
        <v>0</v>
      </c>
      <c r="J103" s="197">
        <f>Lähtöarvot!AO103</f>
        <v>0</v>
      </c>
    </row>
    <row r="104" spans="1:10" s="203" customFormat="1" x14ac:dyDescent="0.2">
      <c r="A104" s="201">
        <f>Lähtöarvot!A104</f>
        <v>113</v>
      </c>
      <c r="B104" s="196" t="str">
        <f>Lähtöarvot!B104</f>
        <v>Pylväskatkaisija: katkaisijakohtainen</v>
      </c>
      <c r="C104" s="197">
        <f>Lähtöarvot!C104</f>
        <v>0</v>
      </c>
      <c r="D104" s="198" t="str">
        <f>Lähtöarvot!D104</f>
        <v>kpl</v>
      </c>
      <c r="E104" s="202"/>
      <c r="F104" s="197"/>
      <c r="G104" s="197">
        <f>Lähtöarvot!E104</f>
        <v>0</v>
      </c>
      <c r="H104" s="197">
        <f>Lähtöarvot!AI104</f>
        <v>0</v>
      </c>
      <c r="I104" s="197">
        <f>Lähtöarvot!AL104</f>
        <v>0</v>
      </c>
      <c r="J104" s="197">
        <f>Lähtöarvot!AO104</f>
        <v>0</v>
      </c>
    </row>
    <row r="105" spans="1:10" s="203" customFormat="1" x14ac:dyDescent="0.2">
      <c r="A105" s="201">
        <f>Lähtöarvot!A105</f>
        <v>114</v>
      </c>
      <c r="B105" s="196" t="str">
        <f>Lähtöarvot!B105</f>
        <v>20 kV Ilmajohtoverkon tiedonsiirtolaitteisto: muuntamo tai erotinasemakohtainen</v>
      </c>
      <c r="C105" s="197">
        <f>Lähtöarvot!C105</f>
        <v>0</v>
      </c>
      <c r="D105" s="198" t="str">
        <f>Lähtöarvot!D105</f>
        <v>kpl</v>
      </c>
      <c r="E105" s="202"/>
      <c r="F105" s="197"/>
      <c r="G105" s="197">
        <f>Lähtöarvot!E105</f>
        <v>0</v>
      </c>
      <c r="H105" s="197">
        <f>Lähtöarvot!AI105</f>
        <v>0</v>
      </c>
      <c r="I105" s="197">
        <f>Lähtöarvot!AL105</f>
        <v>0</v>
      </c>
      <c r="J105" s="197">
        <f>Lähtöarvot!AO105</f>
        <v>0</v>
      </c>
    </row>
    <row r="106" spans="1:10" s="203" customFormat="1" x14ac:dyDescent="0.2">
      <c r="A106" s="201">
        <f>Lähtöarvot!A106</f>
        <v>115</v>
      </c>
      <c r="B106" s="196" t="str">
        <f>Lähtöarvot!B106</f>
        <v>20 kV Ilmajohtoverkon kauko-ohjauslaitteisto: moottoriohjain, erotin- tai katkaisijakohtainen</v>
      </c>
      <c r="C106" s="197">
        <f>Lähtöarvot!C106</f>
        <v>0</v>
      </c>
      <c r="D106" s="198" t="str">
        <f>Lähtöarvot!D106</f>
        <v>kpl</v>
      </c>
      <c r="E106" s="202"/>
      <c r="F106" s="197"/>
      <c r="G106" s="197">
        <f>Lähtöarvot!E106</f>
        <v>0</v>
      </c>
      <c r="H106" s="197">
        <f>Lähtöarvot!AI106</f>
        <v>0</v>
      </c>
      <c r="I106" s="197">
        <f>Lähtöarvot!AL106</f>
        <v>0</v>
      </c>
      <c r="J106" s="197">
        <f>Lähtöarvot!AO106</f>
        <v>0</v>
      </c>
    </row>
    <row r="107" spans="1:10" s="203" customFormat="1" x14ac:dyDescent="0.2">
      <c r="A107" s="201">
        <f>Lähtöarvot!A107</f>
        <v>116</v>
      </c>
      <c r="B107" s="196" t="str">
        <f>Lähtöarvot!B107</f>
        <v>Jatkot: Muovikaapelijatko korkeintaan 150 mm2</v>
      </c>
      <c r="C107" s="197">
        <f>Lähtöarvot!C107</f>
        <v>0</v>
      </c>
      <c r="D107" s="198" t="str">
        <f>Lähtöarvot!D107</f>
        <v>kpl</v>
      </c>
      <c r="E107" s="202"/>
      <c r="F107" s="197"/>
      <c r="G107" s="197">
        <f>Lähtöarvot!E107</f>
        <v>0</v>
      </c>
      <c r="H107" s="197">
        <f>Lähtöarvot!AI107</f>
        <v>0</v>
      </c>
      <c r="I107" s="197">
        <f>Lähtöarvot!AL107</f>
        <v>0</v>
      </c>
      <c r="J107" s="197">
        <f>Lähtöarvot!AO107</f>
        <v>0</v>
      </c>
    </row>
    <row r="108" spans="1:10" s="203" customFormat="1" x14ac:dyDescent="0.2">
      <c r="A108" s="201">
        <f>Lähtöarvot!A108</f>
        <v>117</v>
      </c>
      <c r="B108" s="196" t="str">
        <f>Lähtöarvot!B108</f>
        <v>Jatkot: Muovikaapelijatko yli 150 mm2</v>
      </c>
      <c r="C108" s="197">
        <f>Lähtöarvot!C108</f>
        <v>0</v>
      </c>
      <c r="D108" s="198" t="str">
        <f>Lähtöarvot!D108</f>
        <v>kpl</v>
      </c>
      <c r="E108" s="202"/>
      <c r="F108" s="197"/>
      <c r="G108" s="197">
        <f>Lähtöarvot!E108</f>
        <v>0</v>
      </c>
      <c r="H108" s="197">
        <f>Lähtöarvot!AI108</f>
        <v>0</v>
      </c>
      <c r="I108" s="197">
        <f>Lähtöarvot!AL108</f>
        <v>0</v>
      </c>
      <c r="J108" s="197">
        <f>Lähtöarvot!AO108</f>
        <v>0</v>
      </c>
    </row>
    <row r="109" spans="1:10" s="203" customFormat="1" x14ac:dyDescent="0.2">
      <c r="A109" s="201">
        <f>Lähtöarvot!A109</f>
        <v>118</v>
      </c>
      <c r="B109" s="196" t="str">
        <f>Lähtöarvot!B109</f>
        <v>Jatkot: Seka- tai öljykaapelijatko (muovi-paperi ja paperi-paperi) korkeintaan 150 mm2</v>
      </c>
      <c r="C109" s="197">
        <f>Lähtöarvot!C109</f>
        <v>0</v>
      </c>
      <c r="D109" s="198" t="str">
        <f>Lähtöarvot!D109</f>
        <v>kpl</v>
      </c>
      <c r="E109" s="202"/>
      <c r="F109" s="197"/>
      <c r="G109" s="197">
        <f>Lähtöarvot!E109</f>
        <v>0</v>
      </c>
      <c r="H109" s="197">
        <f>Lähtöarvot!AI109</f>
        <v>0</v>
      </c>
      <c r="I109" s="197">
        <f>Lähtöarvot!AL109</f>
        <v>0</v>
      </c>
      <c r="J109" s="197">
        <f>Lähtöarvot!AO109</f>
        <v>0</v>
      </c>
    </row>
    <row r="110" spans="1:10" s="203" customFormat="1" x14ac:dyDescent="0.2">
      <c r="A110" s="201">
        <f>Lähtöarvot!A110</f>
        <v>119</v>
      </c>
      <c r="B110" s="196" t="str">
        <f>Lähtöarvot!B110</f>
        <v>Jatkot: Seka- tai öljykaapelijatko (muovi-paperi ja paperi-paperi) yli 150 mm2</v>
      </c>
      <c r="C110" s="197">
        <f>Lähtöarvot!C110</f>
        <v>0</v>
      </c>
      <c r="D110" s="198" t="str">
        <f>Lähtöarvot!D110</f>
        <v>kpl</v>
      </c>
      <c r="E110" s="202"/>
      <c r="F110" s="197"/>
      <c r="G110" s="197">
        <f>Lähtöarvot!E110</f>
        <v>0</v>
      </c>
      <c r="H110" s="197">
        <f>Lähtöarvot!AI110</f>
        <v>0</v>
      </c>
      <c r="I110" s="197">
        <f>Lähtöarvot!AL110</f>
        <v>0</v>
      </c>
      <c r="J110" s="197">
        <f>Lähtöarvot!AO110</f>
        <v>0</v>
      </c>
    </row>
    <row r="111" spans="1:10" s="203" customFormat="1" x14ac:dyDescent="0.2">
      <c r="A111" s="201">
        <f>Lähtöarvot!A111</f>
        <v>120</v>
      </c>
      <c r="B111" s="196" t="str">
        <f>Lähtöarvot!B111</f>
        <v>Jatkot: Vesistökaapelin jatko</v>
      </c>
      <c r="C111" s="197">
        <f>Lähtöarvot!C111</f>
        <v>0</v>
      </c>
      <c r="D111" s="198" t="str">
        <f>Lähtöarvot!D111</f>
        <v>kpl</v>
      </c>
      <c r="E111" s="202"/>
      <c r="F111" s="197"/>
      <c r="G111" s="197">
        <f>Lähtöarvot!E111</f>
        <v>0</v>
      </c>
      <c r="H111" s="197">
        <f>Lähtöarvot!AI111</f>
        <v>0</v>
      </c>
      <c r="I111" s="197">
        <f>Lähtöarvot!AL111</f>
        <v>0</v>
      </c>
      <c r="J111" s="197">
        <f>Lähtöarvot!AO111</f>
        <v>0</v>
      </c>
    </row>
    <row r="112" spans="1:10" s="203" customFormat="1" x14ac:dyDescent="0.2">
      <c r="A112" s="201">
        <f>Lähtöarvot!A112</f>
        <v>121</v>
      </c>
      <c r="B112" s="196" t="str">
        <f>Lähtöarvot!B112</f>
        <v>Jatkot: Armeeratun vesistökaapelin jatko</v>
      </c>
      <c r="C112" s="197">
        <f>Lähtöarvot!C112</f>
        <v>0</v>
      </c>
      <c r="D112" s="198" t="str">
        <f>Lähtöarvot!D112</f>
        <v>kpl</v>
      </c>
      <c r="E112" s="202"/>
      <c r="F112" s="197"/>
      <c r="G112" s="197">
        <f>Lähtöarvot!E112</f>
        <v>0</v>
      </c>
      <c r="H112" s="197">
        <f>Lähtöarvot!AI112</f>
        <v>0</v>
      </c>
      <c r="I112" s="197">
        <f>Lähtöarvot!AL112</f>
        <v>0</v>
      </c>
      <c r="J112" s="197">
        <f>Lähtöarvot!AO112</f>
        <v>0</v>
      </c>
    </row>
    <row r="113" spans="1:10" s="203" customFormat="1" x14ac:dyDescent="0.2">
      <c r="A113" s="201">
        <f>Lähtöarvot!A113</f>
        <v>122</v>
      </c>
      <c r="B113" s="196" t="str">
        <f>Lähtöarvot!B113</f>
        <v>Sisäpääte, ilmaeristeinen</v>
      </c>
      <c r="C113" s="197">
        <f>Lähtöarvot!C113</f>
        <v>0</v>
      </c>
      <c r="D113" s="198" t="str">
        <f>Lähtöarvot!D113</f>
        <v>kpl</v>
      </c>
      <c r="E113" s="202"/>
      <c r="F113" s="197"/>
      <c r="G113" s="197">
        <f>Lähtöarvot!E113</f>
        <v>0</v>
      </c>
      <c r="H113" s="197">
        <f>Lähtöarvot!AI113</f>
        <v>0</v>
      </c>
      <c r="I113" s="197">
        <f>Lähtöarvot!AL113</f>
        <v>0</v>
      </c>
      <c r="J113" s="197">
        <f>Lähtöarvot!AO113</f>
        <v>0</v>
      </c>
    </row>
    <row r="114" spans="1:10" s="203" customFormat="1" x14ac:dyDescent="0.2">
      <c r="A114" s="201">
        <f>Lähtöarvot!A114</f>
        <v>123</v>
      </c>
      <c r="B114" s="196" t="str">
        <f>Lähtöarvot!B114</f>
        <v>Ulkopääte, ilmaeristeinen</v>
      </c>
      <c r="C114" s="197">
        <f>Lähtöarvot!C114</f>
        <v>0</v>
      </c>
      <c r="D114" s="198" t="str">
        <f>Lähtöarvot!D114</f>
        <v>kpl</v>
      </c>
      <c r="E114" s="202"/>
      <c r="F114" s="197"/>
      <c r="G114" s="197">
        <f>Lähtöarvot!E114</f>
        <v>0</v>
      </c>
      <c r="H114" s="197">
        <f>Lähtöarvot!AI114</f>
        <v>0</v>
      </c>
      <c r="I114" s="197">
        <f>Lähtöarvot!AL114</f>
        <v>0</v>
      </c>
      <c r="J114" s="197">
        <f>Lähtöarvot!AO114</f>
        <v>0</v>
      </c>
    </row>
    <row r="115" spans="1:10" s="203" customFormat="1" x14ac:dyDescent="0.2">
      <c r="A115" s="201">
        <f>Lähtöarvot!A115</f>
        <v>124</v>
      </c>
      <c r="B115" s="196" t="str">
        <f>Lähtöarvot!B115</f>
        <v>Pistokepääte</v>
      </c>
      <c r="C115" s="197">
        <f>Lähtöarvot!C115</f>
        <v>0</v>
      </c>
      <c r="D115" s="198" t="str">
        <f>Lähtöarvot!D115</f>
        <v>kpl</v>
      </c>
      <c r="E115" s="202"/>
      <c r="F115" s="197"/>
      <c r="G115" s="197">
        <f>Lähtöarvot!E115</f>
        <v>0</v>
      </c>
      <c r="H115" s="197">
        <f>Lähtöarvot!AI115</f>
        <v>0</v>
      </c>
      <c r="I115" s="197">
        <f>Lähtöarvot!AL115</f>
        <v>0</v>
      </c>
      <c r="J115" s="197">
        <f>Lähtöarvot!AO115</f>
        <v>0</v>
      </c>
    </row>
    <row r="116" spans="1:10" s="203" customFormat="1" x14ac:dyDescent="0.2">
      <c r="A116" s="201">
        <f>Lähtöarvot!A116</f>
        <v>125</v>
      </c>
      <c r="B116" s="196" t="str">
        <f>Lähtöarvot!B116</f>
        <v>Ylijännitesuoja, ilmaeristeinen: 20 kV kojeisto- ja pylväspäätteissä sekä jakelumuuntajilla</v>
      </c>
      <c r="C116" s="197">
        <f>Lähtöarvot!C116</f>
        <v>0</v>
      </c>
      <c r="D116" s="198" t="str">
        <f>Lähtöarvot!D116</f>
        <v>kpl</v>
      </c>
      <c r="E116" s="202"/>
      <c r="F116" s="197"/>
      <c r="G116" s="197">
        <f>Lähtöarvot!E116</f>
        <v>0</v>
      </c>
      <c r="H116" s="197">
        <f>Lähtöarvot!AI116</f>
        <v>0</v>
      </c>
      <c r="I116" s="197">
        <f>Lähtöarvot!AL116</f>
        <v>0</v>
      </c>
      <c r="J116" s="197">
        <f>Lähtöarvot!AO116</f>
        <v>0</v>
      </c>
    </row>
    <row r="117" spans="1:10" s="203" customFormat="1" x14ac:dyDescent="0.2">
      <c r="A117" s="201">
        <f>Lähtöarvot!A117</f>
        <v>126</v>
      </c>
      <c r="B117" s="196" t="str">
        <f>Lähtöarvot!B117</f>
        <v>Ylijännitesuoja, pistokeliitäntä: 20 kV kojeisto- ja pylväspäätteissä sekä jakelumuuntajilla</v>
      </c>
      <c r="C117" s="197">
        <f>Lähtöarvot!C117</f>
        <v>0</v>
      </c>
      <c r="D117" s="198" t="str">
        <f>Lähtöarvot!D117</f>
        <v>kpl</v>
      </c>
      <c r="E117" s="202"/>
      <c r="F117" s="197"/>
      <c r="G117" s="197">
        <f>Lähtöarvot!E117</f>
        <v>0</v>
      </c>
      <c r="H117" s="197">
        <f>Lähtöarvot!AI117</f>
        <v>0</v>
      </c>
      <c r="I117" s="197">
        <f>Lähtöarvot!AL117</f>
        <v>0</v>
      </c>
      <c r="J117" s="197">
        <f>Lähtöarvot!AO117</f>
        <v>0</v>
      </c>
    </row>
    <row r="118" spans="1:10" s="203" customFormat="1" x14ac:dyDescent="0.2">
      <c r="A118" s="201">
        <f>Lähtöarvot!A118</f>
        <v>127</v>
      </c>
      <c r="B118" s="196" t="str">
        <f>Lähtöarvot!B118</f>
        <v>20 kV haaroituskaappi</v>
      </c>
      <c r="C118" s="197">
        <f>Lähtöarvot!C118</f>
        <v>0</v>
      </c>
      <c r="D118" s="198" t="str">
        <f>Lähtöarvot!D118</f>
        <v>kpl</v>
      </c>
      <c r="E118" s="202"/>
      <c r="F118" s="197"/>
      <c r="G118" s="197">
        <f>Lähtöarvot!E118</f>
        <v>0</v>
      </c>
      <c r="H118" s="197">
        <f>Lähtöarvot!AI118</f>
        <v>0</v>
      </c>
      <c r="I118" s="197">
        <f>Lähtöarvot!AL118</f>
        <v>0</v>
      </c>
      <c r="J118" s="197">
        <f>Lähtöarvot!AO118</f>
        <v>0</v>
      </c>
    </row>
    <row r="119" spans="1:10" x14ac:dyDescent="0.2">
      <c r="A119" s="6">
        <f>Lähtöarvot!A119</f>
        <v>128</v>
      </c>
      <c r="B119" s="7" t="str">
        <f>Lähtöarvot!B119</f>
        <v>20 kV Maakaapeli 70 mm2 tai pienempi: Ilman keskusköyttä</v>
      </c>
      <c r="C119" s="8">
        <f>Lähtöarvot!C119</f>
        <v>12429.406366533334</v>
      </c>
      <c r="D119" s="9" t="str">
        <f>Lähtöarvot!D119</f>
        <v>km</v>
      </c>
      <c r="E119" s="13"/>
      <c r="F119" s="8"/>
      <c r="G119" s="8">
        <f>Lähtöarvot!E119</f>
        <v>12371.333333333334</v>
      </c>
      <c r="H119" s="8">
        <f>Lähtöarvot!AI119</f>
        <v>0</v>
      </c>
      <c r="I119" s="8">
        <f>Lähtöarvot!AL119</f>
        <v>0</v>
      </c>
      <c r="J119" s="8">
        <f>Lähtöarvot!AO119</f>
        <v>58.073033200000005</v>
      </c>
    </row>
    <row r="120" spans="1:10" x14ac:dyDescent="0.2">
      <c r="A120" s="6">
        <f>Lähtöarvot!A120</f>
        <v>129</v>
      </c>
      <c r="B120" s="7" t="str">
        <f>Lähtöarvot!B120</f>
        <v>20 kV Maakaapeli 95 mm2: Ilman keskusköyttä</v>
      </c>
      <c r="C120" s="8">
        <f>Lähtöarvot!C120</f>
        <v>14813.360933333333</v>
      </c>
      <c r="D120" s="9" t="str">
        <f>Lähtöarvot!D120</f>
        <v>km</v>
      </c>
      <c r="E120" s="13"/>
      <c r="F120" s="8"/>
      <c r="G120" s="8">
        <f>Lähtöarvot!E120</f>
        <v>14749.333333333334</v>
      </c>
      <c r="H120" s="8">
        <f>Lähtöarvot!AI120</f>
        <v>0</v>
      </c>
      <c r="I120" s="8">
        <f>Lähtöarvot!AL120</f>
        <v>0</v>
      </c>
      <c r="J120" s="8">
        <f>Lähtöarvot!AO120</f>
        <v>64.027600000000007</v>
      </c>
    </row>
    <row r="121" spans="1:10" s="203" customFormat="1" x14ac:dyDescent="0.2">
      <c r="A121" s="201">
        <f>Lähtöarvot!A121</f>
        <v>130</v>
      </c>
      <c r="B121" s="196" t="str">
        <f>Lähtöarvot!B121</f>
        <v>20 kV Maakaapeli 120 mm2: Ilman keskusköyttä</v>
      </c>
      <c r="C121" s="197">
        <f>Lähtöarvot!C121</f>
        <v>0</v>
      </c>
      <c r="D121" s="198" t="str">
        <f>Lähtöarvot!D121</f>
        <v>km</v>
      </c>
      <c r="E121" s="202"/>
      <c r="F121" s="197"/>
      <c r="G121" s="197">
        <f>Lähtöarvot!E121</f>
        <v>0</v>
      </c>
      <c r="H121" s="197">
        <f>Lähtöarvot!AI121</f>
        <v>0</v>
      </c>
      <c r="I121" s="197">
        <f>Lähtöarvot!AL121</f>
        <v>0</v>
      </c>
      <c r="J121" s="197">
        <f>Lähtöarvot!AO121</f>
        <v>0</v>
      </c>
    </row>
    <row r="122" spans="1:10" x14ac:dyDescent="0.2">
      <c r="A122" s="6">
        <f>Lähtöarvot!A122</f>
        <v>131</v>
      </c>
      <c r="B122" s="7" t="str">
        <f>Lähtöarvot!B122</f>
        <v>20 kV Maakaapeli 150 mm2: Ilman keskusköyttä</v>
      </c>
      <c r="C122" s="8">
        <f>Lähtöarvot!C122</f>
        <v>19115.825323733334</v>
      </c>
      <c r="D122" s="9" t="str">
        <f>Lähtöarvot!D122</f>
        <v>km</v>
      </c>
      <c r="E122" s="13"/>
      <c r="F122" s="8"/>
      <c r="G122" s="8">
        <f>Lähtöarvot!E122</f>
        <v>19032.333333333332</v>
      </c>
      <c r="H122" s="8">
        <f>Lähtöarvot!AI122</f>
        <v>0</v>
      </c>
      <c r="I122" s="8">
        <f>Lähtöarvot!AL122</f>
        <v>0</v>
      </c>
      <c r="J122" s="8">
        <f>Lähtöarvot!AO122</f>
        <v>83.491990400000006</v>
      </c>
    </row>
    <row r="123" spans="1:10" x14ac:dyDescent="0.2">
      <c r="A123" s="6">
        <f>Lähtöarvot!A123</f>
        <v>132</v>
      </c>
      <c r="B123" s="7" t="str">
        <f>Lähtöarvot!B123</f>
        <v>20 kV Maakaapeli 185 mm2: Ilman keskusköyttä</v>
      </c>
      <c r="C123" s="8">
        <f>Lähtöarvot!C123</f>
        <v>22102.7515508</v>
      </c>
      <c r="D123" s="9" t="str">
        <f>Lähtöarvot!D123</f>
        <v>km</v>
      </c>
      <c r="E123" s="13"/>
      <c r="F123" s="8"/>
      <c r="G123" s="8">
        <f>Lähtöarvot!E123</f>
        <v>22011</v>
      </c>
      <c r="H123" s="8">
        <f>Lähtöarvot!AI123</f>
        <v>0</v>
      </c>
      <c r="I123" s="8">
        <f>Lähtöarvot!AL123</f>
        <v>0</v>
      </c>
      <c r="J123" s="8">
        <f>Lähtöarvot!AO123</f>
        <v>91.751550800000018</v>
      </c>
    </row>
    <row r="124" spans="1:10" x14ac:dyDescent="0.2">
      <c r="A124" s="6">
        <f>Lähtöarvot!A124</f>
        <v>133</v>
      </c>
      <c r="B124" s="7" t="str">
        <f>Lähtöarvot!B124</f>
        <v>20 kV Maakaapeli 240 mm2: Ilman keskusköyttä</v>
      </c>
      <c r="C124" s="8">
        <f>Lähtöarvot!C124</f>
        <v>27083.220925900001</v>
      </c>
      <c r="D124" s="9" t="str">
        <f>Lähtöarvot!D124</f>
        <v>km</v>
      </c>
      <c r="E124" s="13"/>
      <c r="F124" s="8"/>
      <c r="G124" s="8">
        <f>Lähtöarvot!E124</f>
        <v>26979</v>
      </c>
      <c r="H124" s="8">
        <f>Lähtöarvot!AI124</f>
        <v>0</v>
      </c>
      <c r="I124" s="8">
        <f>Lähtöarvot!AL124</f>
        <v>0</v>
      </c>
      <c r="J124" s="8">
        <f>Lähtöarvot!AO124</f>
        <v>104.22092590000001</v>
      </c>
    </row>
    <row r="125" spans="1:10" s="203" customFormat="1" x14ac:dyDescent="0.2">
      <c r="A125" s="201">
        <f>Lähtöarvot!A125</f>
        <v>134</v>
      </c>
      <c r="B125" s="196" t="str">
        <f>Lähtöarvot!B125</f>
        <v>20 kV Maakaapeli 300 mm2: Ilman keskusköyttä</v>
      </c>
      <c r="C125" s="197">
        <f>Lähtöarvot!C125</f>
        <v>0</v>
      </c>
      <c r="D125" s="198" t="str">
        <f>Lähtöarvot!D125</f>
        <v>km</v>
      </c>
      <c r="E125" s="202"/>
      <c r="F125" s="197"/>
      <c r="G125" s="197">
        <f>Lähtöarvot!E125</f>
        <v>0</v>
      </c>
      <c r="H125" s="197">
        <f>Lähtöarvot!AI125</f>
        <v>0</v>
      </c>
      <c r="I125" s="197">
        <f>Lähtöarvot!AL125</f>
        <v>0</v>
      </c>
      <c r="J125" s="197">
        <f>Lähtöarvot!AO125</f>
        <v>0</v>
      </c>
    </row>
    <row r="126" spans="1:10" s="203" customFormat="1" x14ac:dyDescent="0.2">
      <c r="A126" s="201">
        <f>Lähtöarvot!A126</f>
        <v>135</v>
      </c>
      <c r="B126" s="196" t="str">
        <f>Lähtöarvot!B126</f>
        <v>20 kV Maakaapeli 400 mm2: Ilman keskusköyttä</v>
      </c>
      <c r="C126" s="197">
        <f>Lähtöarvot!C126</f>
        <v>0</v>
      </c>
      <c r="D126" s="198" t="str">
        <f>Lähtöarvot!D126</f>
        <v>km</v>
      </c>
      <c r="E126" s="202"/>
      <c r="F126" s="197"/>
      <c r="G126" s="197">
        <f>Lähtöarvot!E126</f>
        <v>0</v>
      </c>
      <c r="H126" s="197">
        <f>Lähtöarvot!AI126</f>
        <v>0</v>
      </c>
      <c r="I126" s="197">
        <f>Lähtöarvot!AL126</f>
        <v>0</v>
      </c>
      <c r="J126" s="197">
        <f>Lähtöarvot!AO126</f>
        <v>0</v>
      </c>
    </row>
    <row r="127" spans="1:10" s="203" customFormat="1" x14ac:dyDescent="0.2">
      <c r="A127" s="201">
        <f>Lähtöarvot!A127</f>
        <v>136</v>
      </c>
      <c r="B127" s="196" t="str">
        <f>Lähtöarvot!B127</f>
        <v>20 kV Maakaapeli 500 mm2: Ilman keskusköyttä</v>
      </c>
      <c r="C127" s="197">
        <f>Lähtöarvot!C127</f>
        <v>0</v>
      </c>
      <c r="D127" s="198" t="str">
        <f>Lähtöarvot!D127</f>
        <v>km</v>
      </c>
      <c r="E127" s="202"/>
      <c r="F127" s="197"/>
      <c r="G127" s="197">
        <f>Lähtöarvot!E127</f>
        <v>0</v>
      </c>
      <c r="H127" s="197">
        <f>Lähtöarvot!AI127</f>
        <v>0</v>
      </c>
      <c r="I127" s="197">
        <f>Lähtöarvot!AL127</f>
        <v>0</v>
      </c>
      <c r="J127" s="197">
        <f>Lähtöarvot!AO127</f>
        <v>0</v>
      </c>
    </row>
    <row r="128" spans="1:10" s="203" customFormat="1" x14ac:dyDescent="0.2">
      <c r="A128" s="201">
        <f>Lähtöarvot!A128</f>
        <v>137</v>
      </c>
      <c r="B128" s="196" t="str">
        <f>Lähtöarvot!B128</f>
        <v>20 kV Maakaapeli 630 mm2: Ilman keskusköyttä</v>
      </c>
      <c r="C128" s="197">
        <f>Lähtöarvot!C128</f>
        <v>0</v>
      </c>
      <c r="D128" s="198" t="str">
        <f>Lähtöarvot!D128</f>
        <v>km</v>
      </c>
      <c r="E128" s="202"/>
      <c r="F128" s="197"/>
      <c r="G128" s="197">
        <f>Lähtöarvot!E128</f>
        <v>0</v>
      </c>
      <c r="H128" s="197">
        <f>Lähtöarvot!AI128</f>
        <v>0</v>
      </c>
      <c r="I128" s="197">
        <f>Lähtöarvot!AL128</f>
        <v>0</v>
      </c>
      <c r="J128" s="197">
        <f>Lähtöarvot!AO128</f>
        <v>0</v>
      </c>
    </row>
    <row r="129" spans="1:10" s="203" customFormat="1" x14ac:dyDescent="0.2">
      <c r="A129" s="201">
        <f>Lähtöarvot!A129</f>
        <v>138</v>
      </c>
      <c r="B129" s="196" t="str">
        <f>Lähtöarvot!B129</f>
        <v>20 kV Maakaapeli 800 mm2: Ilman keskusköyttä</v>
      </c>
      <c r="C129" s="197">
        <f>Lähtöarvot!C129</f>
        <v>0</v>
      </c>
      <c r="D129" s="198" t="str">
        <f>Lähtöarvot!D129</f>
        <v>km</v>
      </c>
      <c r="E129" s="202"/>
      <c r="F129" s="197"/>
      <c r="G129" s="197">
        <f>Lähtöarvot!E129</f>
        <v>0</v>
      </c>
      <c r="H129" s="197">
        <f>Lähtöarvot!AI129</f>
        <v>0</v>
      </c>
      <c r="I129" s="197">
        <f>Lähtöarvot!AL129</f>
        <v>0</v>
      </c>
      <c r="J129" s="197">
        <f>Lähtöarvot!AO129</f>
        <v>0</v>
      </c>
    </row>
    <row r="130" spans="1:10" x14ac:dyDescent="0.2">
      <c r="A130" s="6">
        <f>Lähtöarvot!A130</f>
        <v>139</v>
      </c>
      <c r="B130" s="7" t="str">
        <f>Lähtöarvot!B130</f>
        <v>20 kV Maakaapeli 70 mm2 tai pienempi: keskusköydellä</v>
      </c>
      <c r="C130" s="8">
        <f>Lähtöarvot!C130</f>
        <v>13776.2153703</v>
      </c>
      <c r="D130" s="9" t="str">
        <f>Lähtöarvot!D130</f>
        <v>km</v>
      </c>
      <c r="E130" s="13"/>
      <c r="F130" s="8"/>
      <c r="G130" s="8">
        <f>Lähtöarvot!E130</f>
        <v>13722</v>
      </c>
      <c r="H130" s="8">
        <f>Lähtöarvot!AI130</f>
        <v>0</v>
      </c>
      <c r="I130" s="8">
        <f>Lähtöarvot!AL130</f>
        <v>0</v>
      </c>
      <c r="J130" s="8">
        <f>Lähtöarvot!AO130</f>
        <v>54.215370300000004</v>
      </c>
    </row>
    <row r="131" spans="1:10" x14ac:dyDescent="0.2">
      <c r="A131" s="6">
        <f>Lähtöarvot!A131</f>
        <v>140</v>
      </c>
      <c r="B131" s="7" t="str">
        <f>Lähtöarvot!B131</f>
        <v>20 kV Maakaapeli 95 mm2: keskusköydellä</v>
      </c>
      <c r="C131" s="8">
        <f>Lähtöarvot!C131</f>
        <v>16229.2019509</v>
      </c>
      <c r="D131" s="9" t="str">
        <f>Lähtöarvot!D131</f>
        <v>km</v>
      </c>
      <c r="E131" s="13"/>
      <c r="F131" s="8"/>
      <c r="G131" s="8">
        <f>Lähtöarvot!E131</f>
        <v>16169</v>
      </c>
      <c r="H131" s="8">
        <f>Lähtöarvot!AI131</f>
        <v>0</v>
      </c>
      <c r="I131" s="8">
        <f>Lähtöarvot!AL131</f>
        <v>0</v>
      </c>
      <c r="J131" s="8">
        <f>Lähtöarvot!AO131</f>
        <v>60.201950900000014</v>
      </c>
    </row>
    <row r="132" spans="1:10" x14ac:dyDescent="0.2">
      <c r="A132" s="6">
        <f>Lähtöarvot!A132</f>
        <v>141</v>
      </c>
      <c r="B132" s="7" t="str">
        <f>Lähtöarvot!B132</f>
        <v>20 kV Maakaapeli 120 mm2: keskusköydellä</v>
      </c>
      <c r="C132" s="8">
        <f>Lähtöarvot!C132</f>
        <v>18160.923986400001</v>
      </c>
      <c r="D132" s="9" t="str">
        <f>Lähtöarvot!D132</f>
        <v>km</v>
      </c>
      <c r="E132" s="13"/>
      <c r="F132" s="8"/>
      <c r="G132" s="8">
        <f>Lähtöarvot!E132</f>
        <v>18096</v>
      </c>
      <c r="H132" s="8">
        <f>Lähtöarvot!AI132</f>
        <v>0</v>
      </c>
      <c r="I132" s="8">
        <f>Lähtöarvot!AL132</f>
        <v>0</v>
      </c>
      <c r="J132" s="8">
        <f>Lähtöarvot!AO132</f>
        <v>64.923986400000004</v>
      </c>
    </row>
    <row r="133" spans="1:10" x14ac:dyDescent="0.2">
      <c r="A133" s="6">
        <f>Lähtöarvot!A133</f>
        <v>142</v>
      </c>
      <c r="B133" s="7" t="str">
        <f>Lähtöarvot!B133</f>
        <v>20 kV Maakaapeli 150 mm2: keskusköydellä</v>
      </c>
      <c r="C133" s="8">
        <f>Lähtöarvot!C133</f>
        <v>20597.5863068</v>
      </c>
      <c r="D133" s="9" t="str">
        <f>Lähtöarvot!D133</f>
        <v>km</v>
      </c>
      <c r="E133" s="13"/>
      <c r="F133" s="8"/>
      <c r="G133" s="8">
        <f>Lähtöarvot!E133</f>
        <v>20518</v>
      </c>
      <c r="H133" s="8">
        <f>Lähtöarvot!AI133</f>
        <v>0</v>
      </c>
      <c r="I133" s="8">
        <f>Lähtöarvot!AL133</f>
        <v>0</v>
      </c>
      <c r="J133" s="8">
        <f>Lähtöarvot!AO133</f>
        <v>79.586306800000017</v>
      </c>
    </row>
    <row r="134" spans="1:10" x14ac:dyDescent="0.2">
      <c r="A134" s="6">
        <f>Lähtöarvot!A134</f>
        <v>143</v>
      </c>
      <c r="B134" s="7" t="str">
        <f>Lähtöarvot!B134</f>
        <v>20 kV Maakaapeli 185 mm2: keskusköydellä</v>
      </c>
      <c r="C134" s="8">
        <f>Lähtöarvot!C134</f>
        <v>24010.9259017</v>
      </c>
      <c r="D134" s="9" t="str">
        <f>Lähtöarvot!D134</f>
        <v>km</v>
      </c>
      <c r="E134" s="13"/>
      <c r="F134" s="8"/>
      <c r="G134" s="8">
        <f>Lähtöarvot!E134</f>
        <v>23923</v>
      </c>
      <c r="H134" s="8">
        <f>Lähtöarvot!AI134</f>
        <v>0</v>
      </c>
      <c r="I134" s="8">
        <f>Lähtöarvot!AL134</f>
        <v>0</v>
      </c>
      <c r="J134" s="8">
        <f>Lähtöarvot!AO134</f>
        <v>87.925901700000011</v>
      </c>
    </row>
    <row r="135" spans="1:10" x14ac:dyDescent="0.2">
      <c r="A135" s="6">
        <f>Lähtöarvot!A135</f>
        <v>144</v>
      </c>
      <c r="B135" s="7" t="str">
        <f>Lähtöarvot!B135</f>
        <v>20 kV Maakaapeli 240 mm2: keskusköydellä</v>
      </c>
      <c r="C135" s="8">
        <f>Lähtöarvot!C135</f>
        <v>30647.103030400001</v>
      </c>
      <c r="D135" s="9" t="str">
        <f>Lähtöarvot!D135</f>
        <v>km</v>
      </c>
      <c r="E135" s="13"/>
      <c r="F135" s="8"/>
      <c r="G135" s="8">
        <f>Lähtöarvot!E135</f>
        <v>30538</v>
      </c>
      <c r="H135" s="8">
        <f>Lähtöarvot!AI135</f>
        <v>0</v>
      </c>
      <c r="I135" s="8">
        <f>Lähtöarvot!AL135</f>
        <v>0</v>
      </c>
      <c r="J135" s="8">
        <f>Lähtöarvot!AO135</f>
        <v>109.10303040000002</v>
      </c>
    </row>
    <row r="136" spans="1:10" x14ac:dyDescent="0.2">
      <c r="A136" s="6">
        <f>Lähtöarvot!A136</f>
        <v>145</v>
      </c>
      <c r="B136" s="7" t="str">
        <f>Lähtöarvot!B136</f>
        <v>20 kV Maakaapeli 300 mm2: keskusköydellä</v>
      </c>
      <c r="C136" s="8">
        <f>Lähtöarvot!C136</f>
        <v>33935.8681019</v>
      </c>
      <c r="D136" s="9" t="str">
        <f>Lähtöarvot!D136</f>
        <v>km</v>
      </c>
      <c r="E136" s="13"/>
      <c r="F136" s="8"/>
      <c r="G136" s="8">
        <f>Lähtöarvot!E136</f>
        <v>33815</v>
      </c>
      <c r="H136" s="8">
        <f>Lähtöarvot!AI136</f>
        <v>0</v>
      </c>
      <c r="I136" s="8">
        <f>Lähtöarvot!AL136</f>
        <v>0</v>
      </c>
      <c r="J136" s="8">
        <f>Lähtöarvot!AO136</f>
        <v>120.86810190000003</v>
      </c>
    </row>
    <row r="137" spans="1:10" s="203" customFormat="1" x14ac:dyDescent="0.2">
      <c r="A137" s="201">
        <f>Lähtöarvot!A137</f>
        <v>146</v>
      </c>
      <c r="B137" s="196" t="str">
        <f>Lähtöarvot!B137</f>
        <v>20 kV Maakaapeli 400 mm2: keskusköydellä</v>
      </c>
      <c r="C137" s="197">
        <f>Lähtöarvot!C137</f>
        <v>0</v>
      </c>
      <c r="D137" s="198" t="str">
        <f>Lähtöarvot!D137</f>
        <v>km</v>
      </c>
      <c r="E137" s="202"/>
      <c r="F137" s="197"/>
      <c r="G137" s="197">
        <f>Lähtöarvot!E137</f>
        <v>0</v>
      </c>
      <c r="H137" s="197">
        <f>Lähtöarvot!AI137</f>
        <v>0</v>
      </c>
      <c r="I137" s="197">
        <f>Lähtöarvot!AL137</f>
        <v>0</v>
      </c>
      <c r="J137" s="197">
        <f>Lähtöarvot!AO137</f>
        <v>0</v>
      </c>
    </row>
    <row r="138" spans="1:10" s="203" customFormat="1" x14ac:dyDescent="0.2">
      <c r="A138" s="201">
        <f>Lähtöarvot!A138</f>
        <v>147</v>
      </c>
      <c r="B138" s="196" t="str">
        <f>Lähtöarvot!B138</f>
        <v>20 kV Maakaapeli 500 mm2: keskusköydellä</v>
      </c>
      <c r="C138" s="197">
        <f>Lähtöarvot!C138</f>
        <v>0</v>
      </c>
      <c r="D138" s="198" t="str">
        <f>Lähtöarvot!D138</f>
        <v>km</v>
      </c>
      <c r="E138" s="202"/>
      <c r="F138" s="197"/>
      <c r="G138" s="197">
        <f>Lähtöarvot!E138</f>
        <v>0</v>
      </c>
      <c r="H138" s="197">
        <f>Lähtöarvot!AI138</f>
        <v>0</v>
      </c>
      <c r="I138" s="197">
        <f>Lähtöarvot!AL138</f>
        <v>0</v>
      </c>
      <c r="J138" s="197">
        <f>Lähtöarvot!AO138</f>
        <v>0</v>
      </c>
    </row>
    <row r="139" spans="1:10" s="203" customFormat="1" x14ac:dyDescent="0.2">
      <c r="A139" s="201">
        <f>Lähtöarvot!A139</f>
        <v>148</v>
      </c>
      <c r="B139" s="196" t="str">
        <f>Lähtöarvot!B139</f>
        <v>20 kV Maakaapeli 630 mm2: keskusköydellä</v>
      </c>
      <c r="C139" s="197">
        <f>Lähtöarvot!C139</f>
        <v>0</v>
      </c>
      <c r="D139" s="198" t="str">
        <f>Lähtöarvot!D139</f>
        <v>km</v>
      </c>
      <c r="E139" s="202"/>
      <c r="F139" s="197"/>
      <c r="G139" s="197">
        <f>Lähtöarvot!E139</f>
        <v>0</v>
      </c>
      <c r="H139" s="197">
        <f>Lähtöarvot!AI139</f>
        <v>0</v>
      </c>
      <c r="I139" s="197">
        <f>Lähtöarvot!AL139</f>
        <v>0</v>
      </c>
      <c r="J139" s="197">
        <f>Lähtöarvot!AO139</f>
        <v>0</v>
      </c>
    </row>
    <row r="140" spans="1:10" s="203" customFormat="1" x14ac:dyDescent="0.2">
      <c r="A140" s="201">
        <f>Lähtöarvot!A140</f>
        <v>149</v>
      </c>
      <c r="B140" s="196" t="str">
        <f>Lähtöarvot!B140</f>
        <v>20 kV Maakaapeli 800 mm2: keskusköydellä</v>
      </c>
      <c r="C140" s="197">
        <f>Lähtöarvot!C140</f>
        <v>0</v>
      </c>
      <c r="D140" s="198" t="str">
        <f>Lähtöarvot!D140</f>
        <v>km</v>
      </c>
      <c r="E140" s="202"/>
      <c r="F140" s="197"/>
      <c r="G140" s="197">
        <f>Lähtöarvot!E140</f>
        <v>0</v>
      </c>
      <c r="H140" s="197">
        <f>Lähtöarvot!AI140</f>
        <v>0</v>
      </c>
      <c r="I140" s="197">
        <f>Lähtöarvot!AL140</f>
        <v>0</v>
      </c>
      <c r="J140" s="197">
        <f>Lähtöarvot!AO140</f>
        <v>0</v>
      </c>
    </row>
    <row r="141" spans="1:10" x14ac:dyDescent="0.2">
      <c r="A141" s="6">
        <f>Lähtöarvot!A141</f>
        <v>150</v>
      </c>
      <c r="B141" s="7" t="str">
        <f>Lähtöarvot!B141</f>
        <v>20 kV Maakaapeliverkon erotinasema: puistomuuntamotyyppinen rakenne luokka 1: 1 kenno erottimella</v>
      </c>
      <c r="C141" s="8">
        <f>Lähtöarvot!C141</f>
        <v>2582.1015862499994</v>
      </c>
      <c r="D141" s="9" t="str">
        <f>Lähtöarvot!D141</f>
        <v>kpl</v>
      </c>
      <c r="E141" s="13"/>
      <c r="F141" s="8"/>
      <c r="G141" s="8">
        <f>Lähtöarvot!E141</f>
        <v>2510.2871499999997</v>
      </c>
      <c r="H141" s="8">
        <f>Lähtöarvot!AI141</f>
        <v>4.5854562499999991</v>
      </c>
      <c r="I141" s="8">
        <f>Lähtöarvot!AL141</f>
        <v>0</v>
      </c>
      <c r="J141" s="8">
        <f>Lähtöarvot!AO141</f>
        <v>67.228980000000007</v>
      </c>
    </row>
    <row r="142" spans="1:10" x14ac:dyDescent="0.2">
      <c r="A142" s="6">
        <f>Lähtöarvot!A142</f>
        <v>151</v>
      </c>
      <c r="B142" s="7" t="str">
        <f>Lähtöarvot!B142</f>
        <v>20 kV Maakaapeliverkon erotinasema: puistomuuntamotyyppinen rakenne luokka 2: 2 kennoa erottimilla</v>
      </c>
      <c r="C142" s="8">
        <f>Lähtöarvot!C142</f>
        <v>3114.374919583332</v>
      </c>
      <c r="D142" s="9" t="str">
        <f>Lähtöarvot!D142</f>
        <v>kpl</v>
      </c>
      <c r="E142" s="13"/>
      <c r="F142" s="8"/>
      <c r="G142" s="8">
        <f>Lähtöarvot!E142</f>
        <v>3042.5604833333323</v>
      </c>
      <c r="H142" s="8">
        <f>Lähtöarvot!AI142</f>
        <v>4.5854562499999991</v>
      </c>
      <c r="I142" s="8">
        <f>Lähtöarvot!AL142</f>
        <v>0</v>
      </c>
      <c r="J142" s="8">
        <f>Lähtöarvot!AO142</f>
        <v>67.228980000000007</v>
      </c>
    </row>
    <row r="143" spans="1:10" x14ac:dyDescent="0.2">
      <c r="A143" s="6">
        <f>Lähtöarvot!A143</f>
        <v>152</v>
      </c>
      <c r="B143" s="7" t="str">
        <f>Lähtöarvot!B143</f>
        <v>20 kV Maakaapeliverkon erotinasema: puistomuuntamotyyppinen rakenne luokka 3: 3 kennoa erottimilla</v>
      </c>
      <c r="C143" s="8">
        <f>Lähtöarvot!C143</f>
        <v>3646.6482529166651</v>
      </c>
      <c r="D143" s="9" t="str">
        <f>Lähtöarvot!D143</f>
        <v>kpl</v>
      </c>
      <c r="E143" s="13"/>
      <c r="F143" s="8"/>
      <c r="G143" s="8">
        <f>Lähtöarvot!E143</f>
        <v>3574.8338166666654</v>
      </c>
      <c r="H143" s="8">
        <f>Lähtöarvot!AI143</f>
        <v>4.5854562499999991</v>
      </c>
      <c r="I143" s="8">
        <f>Lähtöarvot!AL143</f>
        <v>0</v>
      </c>
      <c r="J143" s="8">
        <f>Lähtöarvot!AO143</f>
        <v>67.228980000000007</v>
      </c>
    </row>
    <row r="144" spans="1:10" x14ac:dyDescent="0.2">
      <c r="A144" s="6">
        <f>Lähtöarvot!A144</f>
        <v>153</v>
      </c>
      <c r="B144" s="7" t="str">
        <f>Lähtöarvot!B144</f>
        <v>20 kV Maakaapeliverkon erotinasema: puistomuuntamotyyppinen rakenne luokka 4: 4 kennoa erottimilla</v>
      </c>
      <c r="C144" s="8">
        <f>Lähtöarvot!C144</f>
        <v>5809.2812192499987</v>
      </c>
      <c r="D144" s="9" t="str">
        <f>Lähtöarvot!D144</f>
        <v>kpl</v>
      </c>
      <c r="E144" s="13"/>
      <c r="F144" s="8"/>
      <c r="G144" s="8">
        <f>Lähtöarvot!E144</f>
        <v>5680.3221499999991</v>
      </c>
      <c r="H144" s="8">
        <f>Lähtöarvot!AI144</f>
        <v>4.5854562499999991</v>
      </c>
      <c r="I144" s="8">
        <f>Lähtöarvot!AL144</f>
        <v>0</v>
      </c>
      <c r="J144" s="8">
        <f>Lähtöarvot!AO144</f>
        <v>124.37361300000001</v>
      </c>
    </row>
    <row r="145" spans="1:10" x14ac:dyDescent="0.2">
      <c r="A145" s="6">
        <f>Lähtöarvot!A145</f>
        <v>154</v>
      </c>
      <c r="B145" s="7" t="str">
        <f>Lähtöarvot!B145</f>
        <v>20 kV Maakaapeliverkon erotinasema: puistomuuntamotyyppinen rakenne luokka 5: vähintään 5 kennoa erottimilla</v>
      </c>
      <c r="C145" s="8">
        <f>Lähtöarvot!C145</f>
        <v>6341.5545525833313</v>
      </c>
      <c r="D145" s="9" t="str">
        <f>Lähtöarvot!D145</f>
        <v>kpl</v>
      </c>
      <c r="E145" s="13"/>
      <c r="F145" s="8"/>
      <c r="G145" s="8">
        <f>Lähtöarvot!E145</f>
        <v>6212.5954833333317</v>
      </c>
      <c r="H145" s="8">
        <f>Lähtöarvot!AI145</f>
        <v>4.5854562499999991</v>
      </c>
      <c r="I145" s="8">
        <f>Lähtöarvot!AL145</f>
        <v>0</v>
      </c>
      <c r="J145" s="8">
        <f>Lähtöarvot!AO145</f>
        <v>124.37361300000001</v>
      </c>
    </row>
    <row r="146" spans="1:10" s="203" customFormat="1" x14ac:dyDescent="0.2">
      <c r="A146" s="201">
        <f>Lähtöarvot!A146</f>
        <v>155</v>
      </c>
      <c r="B146" s="196" t="str">
        <f>Lähtöarvot!B146</f>
        <v>20 kV Maakaapeliverkon katkaisija: muuntamolla tai erotinasemalla, katkaisijakohtainen</v>
      </c>
      <c r="C146" s="197">
        <f>Lähtöarvot!C146</f>
        <v>0</v>
      </c>
      <c r="D146" s="198" t="str">
        <f>Lähtöarvot!D146</f>
        <v>kpl</v>
      </c>
      <c r="E146" s="202"/>
      <c r="F146" s="197"/>
      <c r="G146" s="197">
        <f>Lähtöarvot!E146</f>
        <v>0</v>
      </c>
      <c r="H146" s="197">
        <f>Lähtöarvot!AI146</f>
        <v>0</v>
      </c>
      <c r="I146" s="197">
        <f>Lähtöarvot!AL146</f>
        <v>0</v>
      </c>
      <c r="J146" s="197">
        <f>Lähtöarvot!AO146</f>
        <v>0</v>
      </c>
    </row>
    <row r="147" spans="1:10" s="203" customFormat="1" x14ac:dyDescent="0.2">
      <c r="A147" s="201">
        <f>Lähtöarvot!A147</f>
        <v>156</v>
      </c>
      <c r="B147" s="196" t="str">
        <f>Lähtöarvot!B147</f>
        <v>20 kV Maasulun vianindikointilaitteisto: asennettuna muuntamolle tai erotinasemalle, lähtökohtainen</v>
      </c>
      <c r="C147" s="197">
        <f>Lähtöarvot!C147</f>
        <v>0</v>
      </c>
      <c r="D147" s="198" t="str">
        <f>Lähtöarvot!D147</f>
        <v>kpl</v>
      </c>
      <c r="E147" s="202"/>
      <c r="F147" s="197"/>
      <c r="G147" s="197">
        <f>Lähtöarvot!E147</f>
        <v>0</v>
      </c>
      <c r="H147" s="197">
        <f>Lähtöarvot!AI147</f>
        <v>0</v>
      </c>
      <c r="I147" s="197">
        <f>Lähtöarvot!AL147</f>
        <v>0</v>
      </c>
      <c r="J147" s="197">
        <f>Lähtöarvot!AO147</f>
        <v>0</v>
      </c>
    </row>
    <row r="148" spans="1:10" s="203" customFormat="1" x14ac:dyDescent="0.2">
      <c r="A148" s="201">
        <f>Lähtöarvot!A148</f>
        <v>157</v>
      </c>
      <c r="B148" s="196" t="str">
        <f>Lähtöarvot!B148</f>
        <v>20 kV Maakaapeliverkon tiedonsiirtolaitteisto: muuntamo tai erotinasemakohtainen</v>
      </c>
      <c r="C148" s="197">
        <f>Lähtöarvot!C148</f>
        <v>0</v>
      </c>
      <c r="D148" s="198" t="str">
        <f>Lähtöarvot!D148</f>
        <v>kpl</v>
      </c>
      <c r="E148" s="202"/>
      <c r="F148" s="197"/>
      <c r="G148" s="197">
        <f>Lähtöarvot!E148</f>
        <v>0</v>
      </c>
      <c r="H148" s="197">
        <f>Lähtöarvot!AI148</f>
        <v>0</v>
      </c>
      <c r="I148" s="197">
        <f>Lähtöarvot!AL148</f>
        <v>0</v>
      </c>
      <c r="J148" s="197">
        <f>Lähtöarvot!AO148</f>
        <v>0</v>
      </c>
    </row>
    <row r="149" spans="1:10" s="203" customFormat="1" x14ac:dyDescent="0.2">
      <c r="A149" s="201">
        <f>Lähtöarvot!A149</f>
        <v>158</v>
      </c>
      <c r="B149" s="196" t="str">
        <f>Lähtöarvot!B149</f>
        <v>20 kV Maakaapeliverkon kauko-ohjauslaitteisto: erotin- tai katkaisijakohtainen moottoriohjain</v>
      </c>
      <c r="C149" s="197">
        <f>Lähtöarvot!C149</f>
        <v>0</v>
      </c>
      <c r="D149" s="198" t="str">
        <f>Lähtöarvot!D149</f>
        <v>kpl</v>
      </c>
      <c r="E149" s="202"/>
      <c r="F149" s="197"/>
      <c r="G149" s="197">
        <f>Lähtöarvot!E149</f>
        <v>0</v>
      </c>
      <c r="H149" s="197">
        <f>Lähtöarvot!AI149</f>
        <v>0</v>
      </c>
      <c r="I149" s="197">
        <f>Lähtöarvot!AL149</f>
        <v>0</v>
      </c>
      <c r="J149" s="197">
        <f>Lähtöarvot!AO149</f>
        <v>0</v>
      </c>
    </row>
    <row r="150" spans="1:10" x14ac:dyDescent="0.2">
      <c r="A150" s="6">
        <f>Lähtöarvot!A150</f>
        <v>159</v>
      </c>
      <c r="B150" s="7" t="str">
        <f>Lähtöarvot!B150</f>
        <v>20 kV Vesistökaapeli 70 mm2 tai pienempi</v>
      </c>
      <c r="C150" s="8">
        <f>Lähtöarvot!C150</f>
        <v>13944.9653703</v>
      </c>
      <c r="D150" s="9" t="str">
        <f>Lähtöarvot!D150</f>
        <v>km</v>
      </c>
      <c r="E150" s="13"/>
      <c r="F150" s="8"/>
      <c r="G150" s="8">
        <f>Lähtöarvot!E150</f>
        <v>13890.75</v>
      </c>
      <c r="H150" s="8">
        <f>Lähtöarvot!AI150</f>
        <v>0</v>
      </c>
      <c r="I150" s="8">
        <f>Lähtöarvot!AL150</f>
        <v>0</v>
      </c>
      <c r="J150" s="8">
        <f>Lähtöarvot!AO150</f>
        <v>54.215370300000004</v>
      </c>
    </row>
    <row r="151" spans="1:10" x14ac:dyDescent="0.2">
      <c r="A151" s="6">
        <f>Lähtöarvot!A151</f>
        <v>160</v>
      </c>
      <c r="B151" s="7" t="str">
        <f>Lähtöarvot!B151</f>
        <v>20 kV Vesistökaapeli 95 mm2</v>
      </c>
      <c r="C151" s="8">
        <f>Lähtöarvot!C151</f>
        <v>16397.951950899998</v>
      </c>
      <c r="D151" s="9" t="str">
        <f>Lähtöarvot!D151</f>
        <v>km</v>
      </c>
      <c r="E151" s="13"/>
      <c r="F151" s="8"/>
      <c r="G151" s="8">
        <f>Lähtöarvot!E151</f>
        <v>16337.75</v>
      </c>
      <c r="H151" s="8">
        <f>Lähtöarvot!AI151</f>
        <v>0</v>
      </c>
      <c r="I151" s="8">
        <f>Lähtöarvot!AL151</f>
        <v>0</v>
      </c>
      <c r="J151" s="8">
        <f>Lähtöarvot!AO151</f>
        <v>60.201950900000014</v>
      </c>
    </row>
    <row r="152" spans="1:10" x14ac:dyDescent="0.2">
      <c r="A152" s="6">
        <f>Lähtöarvot!A152</f>
        <v>161</v>
      </c>
      <c r="B152" s="7" t="str">
        <f>Lähtöarvot!B152</f>
        <v>20 kV Vesistökaapeli 120 mm2</v>
      </c>
      <c r="C152" s="8">
        <f>Lähtöarvot!C152</f>
        <v>18329.673986400001</v>
      </c>
      <c r="D152" s="9" t="str">
        <f>Lähtöarvot!D152</f>
        <v>km</v>
      </c>
      <c r="E152" s="13"/>
      <c r="F152" s="8"/>
      <c r="G152" s="8">
        <f>Lähtöarvot!E152</f>
        <v>18264.75</v>
      </c>
      <c r="H152" s="8">
        <f>Lähtöarvot!AI152</f>
        <v>0</v>
      </c>
      <c r="I152" s="8">
        <f>Lähtöarvot!AL152</f>
        <v>0</v>
      </c>
      <c r="J152" s="8">
        <f>Lähtöarvot!AO152</f>
        <v>64.923986400000004</v>
      </c>
    </row>
    <row r="153" spans="1:10" x14ac:dyDescent="0.2">
      <c r="A153" s="6">
        <f>Lähtöarvot!A153</f>
        <v>162</v>
      </c>
      <c r="B153" s="7" t="str">
        <f>Lähtöarvot!B153</f>
        <v>20 kV Vesistökaapeli 150 mm2</v>
      </c>
      <c r="C153" s="8">
        <f>Lähtöarvot!C153</f>
        <v>20766.3363068</v>
      </c>
      <c r="D153" s="9" t="str">
        <f>Lähtöarvot!D153</f>
        <v>km</v>
      </c>
      <c r="E153" s="13"/>
      <c r="F153" s="8"/>
      <c r="G153" s="8">
        <f>Lähtöarvot!E153</f>
        <v>20686.75</v>
      </c>
      <c r="H153" s="8">
        <f>Lähtöarvot!AI153</f>
        <v>0</v>
      </c>
      <c r="I153" s="8">
        <f>Lähtöarvot!AL153</f>
        <v>0</v>
      </c>
      <c r="J153" s="8">
        <f>Lähtöarvot!AO153</f>
        <v>79.586306800000017</v>
      </c>
    </row>
    <row r="154" spans="1:10" x14ac:dyDescent="0.2">
      <c r="A154" s="6">
        <f>Lähtöarvot!A154</f>
        <v>163</v>
      </c>
      <c r="B154" s="7" t="str">
        <f>Lähtöarvot!B154</f>
        <v>20 kV Vesistökaapeli 185 mm2</v>
      </c>
      <c r="C154" s="8">
        <f>Lähtöarvot!C154</f>
        <v>24179.6759017</v>
      </c>
      <c r="D154" s="9" t="str">
        <f>Lähtöarvot!D154</f>
        <v>km</v>
      </c>
      <c r="E154" s="13"/>
      <c r="F154" s="8"/>
      <c r="G154" s="8">
        <f>Lähtöarvot!E154</f>
        <v>24091.75</v>
      </c>
      <c r="H154" s="8">
        <f>Lähtöarvot!AI154</f>
        <v>0</v>
      </c>
      <c r="I154" s="8">
        <f>Lähtöarvot!AL154</f>
        <v>0</v>
      </c>
      <c r="J154" s="8">
        <f>Lähtöarvot!AO154</f>
        <v>87.925901700000011</v>
      </c>
    </row>
    <row r="155" spans="1:10" x14ac:dyDescent="0.2">
      <c r="A155" s="6">
        <f>Lähtöarvot!A155</f>
        <v>164</v>
      </c>
      <c r="B155" s="7" t="str">
        <f>Lähtöarvot!B155</f>
        <v>20 kV Vesistökaapeli 240 mm2</v>
      </c>
      <c r="C155" s="8">
        <f>Lähtöarvot!C155</f>
        <v>30815.853030400001</v>
      </c>
      <c r="D155" s="9" t="str">
        <f>Lähtöarvot!D155</f>
        <v>km</v>
      </c>
      <c r="E155" s="13"/>
      <c r="F155" s="8"/>
      <c r="G155" s="8">
        <f>Lähtöarvot!E155</f>
        <v>30706.75</v>
      </c>
      <c r="H155" s="8">
        <f>Lähtöarvot!AI155</f>
        <v>0</v>
      </c>
      <c r="I155" s="8">
        <f>Lähtöarvot!AL155</f>
        <v>0</v>
      </c>
      <c r="J155" s="8">
        <f>Lähtöarvot!AO155</f>
        <v>109.10303040000002</v>
      </c>
    </row>
    <row r="156" spans="1:10" x14ac:dyDescent="0.2">
      <c r="A156" s="6">
        <f>Lähtöarvot!A156</f>
        <v>165</v>
      </c>
      <c r="B156" s="7" t="str">
        <f>Lähtöarvot!B156</f>
        <v>20 kV Vesistökaapeli 300 mm2 tai suurempi</v>
      </c>
      <c r="C156" s="8">
        <f>Lähtöarvot!C156</f>
        <v>34104.6181019</v>
      </c>
      <c r="D156" s="9" t="str">
        <f>Lähtöarvot!D156</f>
        <v>km</v>
      </c>
      <c r="E156" s="13"/>
      <c r="F156" s="8"/>
      <c r="G156" s="8">
        <f>Lähtöarvot!E156</f>
        <v>33983.75</v>
      </c>
      <c r="H156" s="8">
        <f>Lähtöarvot!AI156</f>
        <v>0</v>
      </c>
      <c r="I156" s="8">
        <f>Lähtöarvot!AL156</f>
        <v>0</v>
      </c>
      <c r="J156" s="8">
        <f>Lähtöarvot!AO156</f>
        <v>120.86810190000003</v>
      </c>
    </row>
    <row r="157" spans="1:10" s="203" customFormat="1" x14ac:dyDescent="0.2">
      <c r="A157" s="201">
        <f>Lähtöarvot!A157</f>
        <v>166</v>
      </c>
      <c r="B157" s="196" t="str">
        <f>Lähtöarvot!B157</f>
        <v>20 kV Armeerattu vesistökaapeli 70 mm2 tai pienempi</v>
      </c>
      <c r="C157" s="197">
        <f>Lähtöarvot!C157</f>
        <v>0</v>
      </c>
      <c r="D157" s="198" t="str">
        <f>Lähtöarvot!D157</f>
        <v>km</v>
      </c>
      <c r="E157" s="202"/>
      <c r="F157" s="197"/>
      <c r="G157" s="197">
        <f>Lähtöarvot!E157</f>
        <v>0</v>
      </c>
      <c r="H157" s="197">
        <f>Lähtöarvot!AI157</f>
        <v>0</v>
      </c>
      <c r="I157" s="197">
        <f>Lähtöarvot!AL157</f>
        <v>0</v>
      </c>
      <c r="J157" s="197">
        <f>Lähtöarvot!AO157</f>
        <v>0</v>
      </c>
    </row>
    <row r="158" spans="1:10" s="203" customFormat="1" x14ac:dyDescent="0.2">
      <c r="A158" s="201">
        <f>Lähtöarvot!A158</f>
        <v>167</v>
      </c>
      <c r="B158" s="196" t="str">
        <f>Lähtöarvot!B158</f>
        <v>20 kV Armeerattu vesistökaapeli 95 mm2</v>
      </c>
      <c r="C158" s="197">
        <f>Lähtöarvot!C158</f>
        <v>0</v>
      </c>
      <c r="D158" s="198" t="str">
        <f>Lähtöarvot!D158</f>
        <v>km</v>
      </c>
      <c r="E158" s="202"/>
      <c r="F158" s="197"/>
      <c r="G158" s="197">
        <f>Lähtöarvot!E158</f>
        <v>0</v>
      </c>
      <c r="H158" s="197">
        <f>Lähtöarvot!AI158</f>
        <v>0</v>
      </c>
      <c r="I158" s="197">
        <f>Lähtöarvot!AL158</f>
        <v>0</v>
      </c>
      <c r="J158" s="197">
        <f>Lähtöarvot!AO158</f>
        <v>0</v>
      </c>
    </row>
    <row r="159" spans="1:10" s="203" customFormat="1" x14ac:dyDescent="0.2">
      <c r="A159" s="201">
        <f>Lähtöarvot!A159</f>
        <v>168</v>
      </c>
      <c r="B159" s="196" t="str">
        <f>Lähtöarvot!B159</f>
        <v>20 kV Armeerattu vesistökaapeli 120 mm2</v>
      </c>
      <c r="C159" s="197">
        <f>Lähtöarvot!C159</f>
        <v>0</v>
      </c>
      <c r="D159" s="198" t="str">
        <f>Lähtöarvot!D159</f>
        <v>km</v>
      </c>
      <c r="E159" s="202"/>
      <c r="F159" s="197"/>
      <c r="G159" s="197">
        <f>Lähtöarvot!E159</f>
        <v>0</v>
      </c>
      <c r="H159" s="197">
        <f>Lähtöarvot!AI159</f>
        <v>0</v>
      </c>
      <c r="I159" s="197">
        <f>Lähtöarvot!AL159</f>
        <v>0</v>
      </c>
      <c r="J159" s="197">
        <f>Lähtöarvot!AO159</f>
        <v>0</v>
      </c>
    </row>
    <row r="160" spans="1:10" s="203" customFormat="1" x14ac:dyDescent="0.2">
      <c r="A160" s="201">
        <f>Lähtöarvot!A160</f>
        <v>169</v>
      </c>
      <c r="B160" s="196" t="str">
        <f>Lähtöarvot!B160</f>
        <v>20 kV Armeerattu vesistökaapeli 150 mm2</v>
      </c>
      <c r="C160" s="197">
        <f>Lähtöarvot!C160</f>
        <v>0</v>
      </c>
      <c r="D160" s="198" t="str">
        <f>Lähtöarvot!D160</f>
        <v>km</v>
      </c>
      <c r="E160" s="202"/>
      <c r="F160" s="197"/>
      <c r="G160" s="197">
        <f>Lähtöarvot!E160</f>
        <v>0</v>
      </c>
      <c r="H160" s="197">
        <f>Lähtöarvot!AI160</f>
        <v>0</v>
      </c>
      <c r="I160" s="197">
        <f>Lähtöarvot!AL160</f>
        <v>0</v>
      </c>
      <c r="J160" s="197">
        <f>Lähtöarvot!AO160</f>
        <v>0</v>
      </c>
    </row>
    <row r="161" spans="1:10" s="203" customFormat="1" x14ac:dyDescent="0.2">
      <c r="A161" s="201">
        <f>Lähtöarvot!A161</f>
        <v>170</v>
      </c>
      <c r="B161" s="196" t="str">
        <f>Lähtöarvot!B161</f>
        <v>20 kV Armeerattu vesistökaapeli 185 mm2</v>
      </c>
      <c r="C161" s="197">
        <f>Lähtöarvot!C161</f>
        <v>0</v>
      </c>
      <c r="D161" s="198" t="str">
        <f>Lähtöarvot!D161</f>
        <v>km</v>
      </c>
      <c r="E161" s="202"/>
      <c r="F161" s="197"/>
      <c r="G161" s="197">
        <f>Lähtöarvot!E161</f>
        <v>0</v>
      </c>
      <c r="H161" s="197">
        <f>Lähtöarvot!AI161</f>
        <v>0</v>
      </c>
      <c r="I161" s="197">
        <f>Lähtöarvot!AL161</f>
        <v>0</v>
      </c>
      <c r="J161" s="197">
        <f>Lähtöarvot!AO161</f>
        <v>0</v>
      </c>
    </row>
    <row r="162" spans="1:10" s="203" customFormat="1" x14ac:dyDescent="0.2">
      <c r="A162" s="201">
        <f>Lähtöarvot!A162</f>
        <v>171</v>
      </c>
      <c r="B162" s="196" t="str">
        <f>Lähtöarvot!B162</f>
        <v>20 kV Armeerattu vesistökaapeli 240 mm2</v>
      </c>
      <c r="C162" s="197">
        <f>Lähtöarvot!C162</f>
        <v>0</v>
      </c>
      <c r="D162" s="198" t="str">
        <f>Lähtöarvot!D162</f>
        <v>km</v>
      </c>
      <c r="E162" s="202"/>
      <c r="F162" s="197"/>
      <c r="G162" s="197">
        <f>Lähtöarvot!E162</f>
        <v>0</v>
      </c>
      <c r="H162" s="197">
        <f>Lähtöarvot!AI162</f>
        <v>0</v>
      </c>
      <c r="I162" s="197">
        <f>Lähtöarvot!AL162</f>
        <v>0</v>
      </c>
      <c r="J162" s="197">
        <f>Lähtöarvot!AO162</f>
        <v>0</v>
      </c>
    </row>
    <row r="163" spans="1:10" s="203" customFormat="1" x14ac:dyDescent="0.2">
      <c r="A163" s="201">
        <f>Lähtöarvot!A163</f>
        <v>172</v>
      </c>
      <c r="B163" s="196" t="str">
        <f>Lähtöarvot!B163</f>
        <v>20 kV Armeerattu vesistökaapeli 300 mm2 tai suurempi</v>
      </c>
      <c r="C163" s="197">
        <f>Lähtöarvot!C163</f>
        <v>0</v>
      </c>
      <c r="D163" s="198" t="str">
        <f>Lähtöarvot!D163</f>
        <v>km</v>
      </c>
      <c r="E163" s="202"/>
      <c r="F163" s="197"/>
      <c r="G163" s="197">
        <f>Lähtöarvot!E163</f>
        <v>0</v>
      </c>
      <c r="H163" s="197">
        <f>Lähtöarvot!AI163</f>
        <v>0</v>
      </c>
      <c r="I163" s="197">
        <f>Lähtöarvot!AL163</f>
        <v>0</v>
      </c>
      <c r="J163" s="197">
        <f>Lähtöarvot!AO163</f>
        <v>0</v>
      </c>
    </row>
    <row r="164" spans="1:10" x14ac:dyDescent="0.2">
      <c r="A164" s="6">
        <f>Lähtöarvot!A164</f>
        <v>173</v>
      </c>
      <c r="B164" s="7" t="str">
        <f>Lähtöarvot!B164</f>
        <v>20 kV Vesistökaapelin rantautuminen</v>
      </c>
      <c r="C164" s="8">
        <f>Lähtöarvot!C164</f>
        <v>68.260000000000005</v>
      </c>
      <c r="D164" s="9" t="str">
        <f>Lähtöarvot!D164</f>
        <v>kpl</v>
      </c>
      <c r="E164" s="13"/>
      <c r="F164" s="8"/>
      <c r="G164" s="8">
        <f>Lähtöarvot!E164</f>
        <v>0</v>
      </c>
      <c r="H164" s="8">
        <f>Lähtöarvot!AI164</f>
        <v>0</v>
      </c>
      <c r="I164" s="8">
        <f>Lähtöarvot!AL164</f>
        <v>68.260000000000005</v>
      </c>
      <c r="J164" s="8">
        <f>Lähtöarvot!AO164</f>
        <v>0</v>
      </c>
    </row>
    <row r="165" spans="1:10" x14ac:dyDescent="0.2">
      <c r="A165" s="6">
        <f>Lähtöarvot!A165</f>
        <v>174</v>
      </c>
      <c r="B165" s="7" t="str">
        <f>Lähtöarvot!B165</f>
        <v>20 kV Armeeratun vesistökaapelin rantautuminen</v>
      </c>
      <c r="C165" s="8">
        <f>Lähtöarvot!C165</f>
        <v>68.260000000000005</v>
      </c>
      <c r="D165" s="9" t="str">
        <f>Lähtöarvot!D165</f>
        <v>kpl</v>
      </c>
      <c r="E165" s="13"/>
      <c r="F165" s="8"/>
      <c r="G165" s="8">
        <f>Lähtöarvot!E165</f>
        <v>0</v>
      </c>
      <c r="H165" s="8">
        <f>Lähtöarvot!AI165</f>
        <v>0</v>
      </c>
      <c r="I165" s="8">
        <f>Lähtöarvot!AL165</f>
        <v>68.260000000000005</v>
      </c>
      <c r="J165" s="8">
        <f>Lähtöarvot!AO165</f>
        <v>0</v>
      </c>
    </row>
    <row r="166" spans="1:10" x14ac:dyDescent="0.2">
      <c r="A166" s="6">
        <f>Lähtöarvot!A166</f>
        <v>175</v>
      </c>
      <c r="B166" s="7" t="str">
        <f>Lähtöarvot!B166</f>
        <v>1. Helppo: asemakaavan ja muiden olosuhteiden ulkopuolinen alue, 0,4 KV - 45 KV</v>
      </c>
      <c r="C166" s="8">
        <f>Lähtöarvot!C166</f>
        <v>176.3818203125</v>
      </c>
      <c r="D166" s="9" t="str">
        <f>Lähtöarvot!D166</f>
        <v>km</v>
      </c>
      <c r="E166" s="13"/>
      <c r="F166" s="8"/>
      <c r="G166" s="8">
        <f>Lähtöarvot!E166</f>
        <v>0</v>
      </c>
      <c r="H166" s="8">
        <f>Lähtöarvot!AI166</f>
        <v>0</v>
      </c>
      <c r="I166" s="8">
        <f>Lähtöarvot!AL166</f>
        <v>176.3818203125</v>
      </c>
      <c r="J166" s="8">
        <f>Lähtöarvot!AO166</f>
        <v>0</v>
      </c>
    </row>
    <row r="167" spans="1:10" x14ac:dyDescent="0.2">
      <c r="A167" s="6">
        <f>Lähtöarvot!A167</f>
        <v>176</v>
      </c>
      <c r="B167" s="7" t="str">
        <f>Lähtöarvot!B167</f>
        <v>2. Tavallinen: Asemakaavan sisällä mutta muiden olosuhteiden ulkopuolella, 0,4 KV - 45 KV</v>
      </c>
      <c r="C167" s="8">
        <f>Lähtöarvot!C167</f>
        <v>352.76364062499999</v>
      </c>
      <c r="D167" s="9" t="str">
        <f>Lähtöarvot!D167</f>
        <v>km</v>
      </c>
      <c r="E167" s="13"/>
      <c r="F167" s="8"/>
      <c r="G167" s="8">
        <f>Lähtöarvot!E167</f>
        <v>0</v>
      </c>
      <c r="H167" s="8">
        <f>Lähtöarvot!AI167</f>
        <v>0</v>
      </c>
      <c r="I167" s="8">
        <f>Lähtöarvot!AL167</f>
        <v>352.76364062499999</v>
      </c>
      <c r="J167" s="8">
        <f>Lähtöarvot!AO167</f>
        <v>0</v>
      </c>
    </row>
    <row r="168" spans="1:10" x14ac:dyDescent="0.2">
      <c r="A168" s="6">
        <f>Lähtöarvot!A168</f>
        <v>177</v>
      </c>
      <c r="B168" s="7" t="str">
        <f>Lähtöarvot!B168</f>
        <v>3. Tavallinen: Maanpäälliset kallioalueet sekä kallioinen maaperä tavallisessa tai helpossa olosuhteessa, 0,4 KV - 45 KV</v>
      </c>
      <c r="C168" s="8">
        <f>Lähtöarvot!C168</f>
        <v>4440.1636875000004</v>
      </c>
      <c r="D168" s="9" t="str">
        <f>Lähtöarvot!D168</f>
        <v>km</v>
      </c>
      <c r="E168" s="13"/>
      <c r="F168" s="8"/>
      <c r="G168" s="8">
        <f>Lähtöarvot!E168</f>
        <v>0</v>
      </c>
      <c r="H168" s="8">
        <f>Lähtöarvot!AI168</f>
        <v>0</v>
      </c>
      <c r="I168" s="8">
        <f>Lähtöarvot!AL168</f>
        <v>4440.1636875000004</v>
      </c>
      <c r="J168" s="8">
        <f>Lähtöarvot!AO168</f>
        <v>0</v>
      </c>
    </row>
    <row r="169" spans="1:10" x14ac:dyDescent="0.2">
      <c r="A169" s="6">
        <f>Lähtöarvot!A169</f>
        <v>178</v>
      </c>
      <c r="B169" s="7" t="str">
        <f>Lähtöarvot!B169</f>
        <v>4. Vaikea: Sisempi kaupunkialue, 0,4 KV - 45 KV</v>
      </c>
      <c r="C169" s="8">
        <f>Lähtöarvot!C169</f>
        <v>705.52728124999999</v>
      </c>
      <c r="D169" s="9" t="str">
        <f>Lähtöarvot!D169</f>
        <v>km</v>
      </c>
      <c r="E169" s="13"/>
      <c r="F169" s="8"/>
      <c r="G169" s="8">
        <f>Lähtöarvot!E169</f>
        <v>0</v>
      </c>
      <c r="H169" s="8">
        <f>Lähtöarvot!AI169</f>
        <v>0</v>
      </c>
      <c r="I169" s="8">
        <f>Lähtöarvot!AL169</f>
        <v>705.52728124999999</v>
      </c>
      <c r="J169" s="8">
        <f>Lähtöarvot!AO169</f>
        <v>0</v>
      </c>
    </row>
    <row r="170" spans="1:10" x14ac:dyDescent="0.2">
      <c r="A170" s="6">
        <f>Lähtöarvot!A170</f>
        <v>179</v>
      </c>
      <c r="B170" s="7" t="str">
        <f>Lähtöarvot!B170</f>
        <v>5. Erittäin vaikea: Suurkaupunkien alakeskukset sekä kaupunkiseudun keskusta-alueet, 0,4 KV - 45 KV</v>
      </c>
      <c r="C170" s="8">
        <f>Lähtöarvot!C170</f>
        <v>1763.8182031250003</v>
      </c>
      <c r="D170" s="9" t="str">
        <f>Lähtöarvot!D170</f>
        <v>km</v>
      </c>
      <c r="E170" s="13"/>
      <c r="F170" s="8"/>
      <c r="G170" s="8">
        <f>Lähtöarvot!E170</f>
        <v>0</v>
      </c>
      <c r="H170" s="8">
        <f>Lähtöarvot!AI170</f>
        <v>0</v>
      </c>
      <c r="I170" s="8">
        <f>Lähtöarvot!AL170</f>
        <v>1763.8182031250003</v>
      </c>
      <c r="J170" s="8">
        <f>Lähtöarvot!AO170</f>
        <v>0</v>
      </c>
    </row>
    <row r="171" spans="1:10" x14ac:dyDescent="0.2">
      <c r="A171" s="6">
        <f>Lähtöarvot!A171</f>
        <v>0</v>
      </c>
      <c r="B171" s="7" t="str">
        <f>Lähtöarvot!B171</f>
        <v>Asfaltointi</v>
      </c>
      <c r="C171" s="8">
        <f>Lähtöarvot!C171</f>
        <v>6.1687500000000011</v>
      </c>
      <c r="D171" s="9" t="str">
        <f>Lähtöarvot!D171</f>
        <v>m²</v>
      </c>
      <c r="E171" s="13"/>
      <c r="F171" s="8"/>
      <c r="G171" s="8">
        <f>Lähtöarvot!E171</f>
        <v>0</v>
      </c>
      <c r="H171" s="8">
        <f>Lähtöarvot!AI171</f>
        <v>0</v>
      </c>
      <c r="I171" s="8">
        <f>Lähtöarvot!AL171</f>
        <v>6.1687500000000011</v>
      </c>
      <c r="J171" s="8">
        <f>Lähtöarvot!AO171</f>
        <v>0</v>
      </c>
    </row>
    <row r="172" spans="1:10" x14ac:dyDescent="0.2">
      <c r="A172" s="6">
        <f>Lähtöarvot!A172</f>
        <v>180</v>
      </c>
      <c r="B172" s="7" t="str">
        <f>Lähtöarvot!B172</f>
        <v>6. Erittäin vaikea: Suurkaupunkien laajat ydinkeskustat, 0,4 KV - 45 KV</v>
      </c>
      <c r="C172" s="8">
        <f>Lähtöarvot!C172</f>
        <v>0</v>
      </c>
      <c r="D172" s="9" t="str">
        <f>Lähtöarvot!D172</f>
        <v>km</v>
      </c>
      <c r="E172" s="13"/>
      <c r="F172" s="8"/>
      <c r="G172" s="8">
        <f>Lähtöarvot!E172</f>
        <v>0</v>
      </c>
      <c r="H172" s="8">
        <f>Lähtöarvot!AI172</f>
        <v>0</v>
      </c>
      <c r="I172" s="8">
        <f>Lähtöarvot!AL172</f>
        <v>0</v>
      </c>
      <c r="J172" s="8">
        <f>Lähtöarvot!AO172</f>
        <v>0</v>
      </c>
    </row>
    <row r="173" spans="1:10" x14ac:dyDescent="0.2">
      <c r="A173" s="6">
        <f>Lähtöarvot!A173</f>
        <v>181</v>
      </c>
      <c r="B173" s="7" t="str">
        <f>Lähtöarvot!B173</f>
        <v>Kaapeliojaan asennettava erillinen maadoitusjohdin Cu 16 mm2</v>
      </c>
      <c r="C173" s="8">
        <f>Lähtöarvot!C173</f>
        <v>575.4</v>
      </c>
      <c r="D173" s="9" t="str">
        <f>Lähtöarvot!D173</f>
        <v>km</v>
      </c>
      <c r="E173" s="13"/>
      <c r="F173" s="8"/>
      <c r="G173" s="8">
        <f>Lähtöarvot!E173</f>
        <v>575.4</v>
      </c>
      <c r="H173" s="8">
        <f>Lähtöarvot!AI173</f>
        <v>0</v>
      </c>
      <c r="I173" s="8">
        <f>Lähtöarvot!AL173</f>
        <v>0</v>
      </c>
      <c r="J173" s="8">
        <f>Lähtöarvot!AO173</f>
        <v>0</v>
      </c>
    </row>
    <row r="174" spans="1:10" x14ac:dyDescent="0.2">
      <c r="A174" s="6">
        <f>Lähtöarvot!A174</f>
        <v>182</v>
      </c>
      <c r="B174" s="7" t="str">
        <f>Lähtöarvot!B174</f>
        <v>Kaapeliojaan asennettava erillinen maadoitusjohdin Cu 25 mm2</v>
      </c>
      <c r="C174" s="8">
        <f>Lähtöarvot!C174</f>
        <v>940.80000000000007</v>
      </c>
      <c r="D174" s="9" t="str">
        <f>Lähtöarvot!D174</f>
        <v>km</v>
      </c>
      <c r="E174" s="13"/>
      <c r="F174" s="8"/>
      <c r="G174" s="8">
        <f>Lähtöarvot!E174</f>
        <v>940.80000000000007</v>
      </c>
      <c r="H174" s="8">
        <f>Lähtöarvot!AI174</f>
        <v>0</v>
      </c>
      <c r="I174" s="8">
        <f>Lähtöarvot!AL174</f>
        <v>0</v>
      </c>
      <c r="J174" s="8">
        <f>Lähtöarvot!AO174</f>
        <v>0</v>
      </c>
    </row>
    <row r="175" spans="1:10" x14ac:dyDescent="0.2">
      <c r="A175" s="6">
        <f>Lähtöarvot!A175</f>
        <v>183</v>
      </c>
      <c r="B175" s="7" t="str">
        <f>Lähtöarvot!B175</f>
        <v>Kaapeliojaan asennettava erillinen maadoitusjohdin Cu 35 mm2</v>
      </c>
      <c r="C175" s="8">
        <f>Lähtöarvot!C175</f>
        <v>1318.8</v>
      </c>
      <c r="D175" s="9" t="str">
        <f>Lähtöarvot!D175</f>
        <v>km</v>
      </c>
      <c r="E175" s="13"/>
      <c r="F175" s="8"/>
      <c r="G175" s="8">
        <f>Lähtöarvot!E175</f>
        <v>1318.8</v>
      </c>
      <c r="H175" s="8">
        <f>Lähtöarvot!AI175</f>
        <v>0</v>
      </c>
      <c r="I175" s="8">
        <f>Lähtöarvot!AL175</f>
        <v>0</v>
      </c>
      <c r="J175" s="8">
        <f>Lähtöarvot!AO175</f>
        <v>0</v>
      </c>
    </row>
    <row r="176" spans="1:10" x14ac:dyDescent="0.2">
      <c r="A176" s="6">
        <f>Lähtöarvot!A176</f>
        <v>184</v>
      </c>
      <c r="B176" s="7" t="str">
        <f>Lähtöarvot!B176</f>
        <v>Kaapeliojaan asennettava erillinen maadoitusjohdin Cu 50 mm2</v>
      </c>
      <c r="C176" s="8">
        <f>Lähtöarvot!C176</f>
        <v>1776.6000000000001</v>
      </c>
      <c r="D176" s="9" t="str">
        <f>Lähtöarvot!D176</f>
        <v>km</v>
      </c>
      <c r="E176" s="13"/>
      <c r="F176" s="8"/>
      <c r="G176" s="8">
        <f>Lähtöarvot!E176</f>
        <v>1776.6000000000001</v>
      </c>
      <c r="H176" s="8">
        <f>Lähtöarvot!AI176</f>
        <v>0</v>
      </c>
      <c r="I176" s="8">
        <f>Lähtöarvot!AL176</f>
        <v>0</v>
      </c>
      <c r="J176" s="8">
        <f>Lähtöarvot!AO176</f>
        <v>0</v>
      </c>
    </row>
    <row r="177" spans="1:10" x14ac:dyDescent="0.2">
      <c r="A177" s="6">
        <f>Lähtöarvot!A177</f>
        <v>185</v>
      </c>
      <c r="B177" s="7" t="str">
        <f>Lähtöarvot!B177</f>
        <v>Kaapeliojaan asennettava erillinen maadoitusjohdin Cu 70 mm2</v>
      </c>
      <c r="C177" s="8">
        <f>Lähtöarvot!C177</f>
        <v>2574.6</v>
      </c>
      <c r="D177" s="9" t="str">
        <f>Lähtöarvot!D177</f>
        <v>km</v>
      </c>
      <c r="E177" s="13"/>
      <c r="F177" s="8"/>
      <c r="G177" s="8">
        <f>Lähtöarvot!E177</f>
        <v>2574.6</v>
      </c>
      <c r="H177" s="8">
        <f>Lähtöarvot!AI177</f>
        <v>0</v>
      </c>
      <c r="I177" s="8">
        <f>Lähtöarvot!AL177</f>
        <v>0</v>
      </c>
      <c r="J177" s="8">
        <f>Lähtöarvot!AO177</f>
        <v>0</v>
      </c>
    </row>
    <row r="178" spans="1:10" x14ac:dyDescent="0.2">
      <c r="A178" s="6">
        <f>Lähtöarvot!A178</f>
        <v>186</v>
      </c>
      <c r="B178" s="7" t="str">
        <f>Lähtöarvot!B178</f>
        <v>Kaapeliojaan asennettava erillinen maadoitusjohdin Cu 95 mm2 tai suurempi</v>
      </c>
      <c r="C178" s="8">
        <f>Lähtöarvot!C178</f>
        <v>3603.6000000000004</v>
      </c>
      <c r="D178" s="9" t="str">
        <f>Lähtöarvot!D178</f>
        <v>km</v>
      </c>
      <c r="E178" s="13"/>
      <c r="F178" s="8"/>
      <c r="G178" s="8">
        <f>Lähtöarvot!E178</f>
        <v>3603.6000000000004</v>
      </c>
      <c r="H178" s="8">
        <f>Lähtöarvot!AI178</f>
        <v>0</v>
      </c>
      <c r="I178" s="8">
        <f>Lähtöarvot!AL178</f>
        <v>0</v>
      </c>
      <c r="J178" s="8">
        <f>Lähtöarvot!AO178</f>
        <v>0</v>
      </c>
    </row>
    <row r="179" spans="1:10" x14ac:dyDescent="0.2">
      <c r="A179" s="6">
        <f>Lähtöarvot!A179</f>
        <v>187</v>
      </c>
      <c r="B179" s="7" t="str">
        <f>Lähtöarvot!B179</f>
        <v>Puistomuuntamo: ulkoa hoidettava luokka 0, pj-keskuksen In enintään 630 A, ilman erotinta</v>
      </c>
      <c r="C179" s="8">
        <f>Lähtöarvot!C179</f>
        <v>1117.2030527166667</v>
      </c>
      <c r="D179" s="9" t="str">
        <f>Lähtöarvot!D179</f>
        <v>kpl</v>
      </c>
      <c r="E179" s="13"/>
      <c r="F179" s="8"/>
      <c r="G179" s="8">
        <f>Lähtöarvot!E179</f>
        <v>1078.3308166666666</v>
      </c>
      <c r="H179" s="8">
        <f>Lähtöarvot!AI179</f>
        <v>4.5854562499999991</v>
      </c>
      <c r="I179" s="8">
        <f>Lähtöarvot!AL179</f>
        <v>0</v>
      </c>
      <c r="J179" s="8">
        <f>Lähtöarvot!AO179</f>
        <v>34.286779800000005</v>
      </c>
    </row>
    <row r="180" spans="1:10" x14ac:dyDescent="0.2">
      <c r="A180" s="6">
        <f>Lähtöarvot!A180</f>
        <v>188</v>
      </c>
      <c r="B180" s="7" t="str">
        <f>Lähtöarvot!B180</f>
        <v>Puistomuuntamo: ulkoa hoidettava luokka 1, pj-keskuksen In enintään 630 A, 1 kenno erottimella</v>
      </c>
      <c r="C180" s="8">
        <f>Lähtöarvot!C180</f>
        <v>2582.1015862499994</v>
      </c>
      <c r="D180" s="9" t="str">
        <f>Lähtöarvot!D180</f>
        <v>kpl</v>
      </c>
      <c r="E180" s="13"/>
      <c r="F180" s="8"/>
      <c r="G180" s="8">
        <f>Lähtöarvot!E180</f>
        <v>2510.2871499999997</v>
      </c>
      <c r="H180" s="8">
        <f>Lähtöarvot!AI180</f>
        <v>4.5854562499999991</v>
      </c>
      <c r="I180" s="8">
        <f>Lähtöarvot!AL180</f>
        <v>0</v>
      </c>
      <c r="J180" s="8">
        <f>Lähtöarvot!AO180</f>
        <v>67.228980000000007</v>
      </c>
    </row>
    <row r="181" spans="1:10" x14ac:dyDescent="0.2">
      <c r="A181" s="6">
        <f>Lähtöarvot!A181</f>
        <v>189</v>
      </c>
      <c r="B181" s="7" t="str">
        <f>Lähtöarvot!B181</f>
        <v>Puistomuuntamo: ulkoa hoidettava luokka 2, pj-keskuksen In enintään 630 A, 2 kennoa erottimilla</v>
      </c>
      <c r="C181" s="8">
        <f>Lähtöarvot!C181</f>
        <v>3114.374919583332</v>
      </c>
      <c r="D181" s="9" t="str">
        <f>Lähtöarvot!D181</f>
        <v>kpl</v>
      </c>
      <c r="E181" s="13"/>
      <c r="F181" s="8"/>
      <c r="G181" s="8">
        <f>Lähtöarvot!E181</f>
        <v>3042.5604833333323</v>
      </c>
      <c r="H181" s="8">
        <f>Lähtöarvot!AI181</f>
        <v>4.5854562499999991</v>
      </c>
      <c r="I181" s="8">
        <f>Lähtöarvot!AL181</f>
        <v>0</v>
      </c>
      <c r="J181" s="8">
        <f>Lähtöarvot!AO181</f>
        <v>67.228980000000007</v>
      </c>
    </row>
    <row r="182" spans="1:10" x14ac:dyDescent="0.2">
      <c r="A182" s="6">
        <f>Lähtöarvot!A182</f>
        <v>190</v>
      </c>
      <c r="B182" s="7" t="str">
        <f>Lähtöarvot!B182</f>
        <v>Puistomuuntamo: ulkoa hoidettava luokka 3, pj-keskuksen In enintään 630 A, 3 kennoa erottimilla</v>
      </c>
      <c r="C182" s="8">
        <f>Lähtöarvot!C182</f>
        <v>3646.6482529166651</v>
      </c>
      <c r="D182" s="9" t="str">
        <f>Lähtöarvot!D182</f>
        <v>kpl</v>
      </c>
      <c r="E182" s="13"/>
      <c r="F182" s="8"/>
      <c r="G182" s="8">
        <f>Lähtöarvot!E182</f>
        <v>3574.8338166666654</v>
      </c>
      <c r="H182" s="8">
        <f>Lähtöarvot!AI182</f>
        <v>4.5854562499999991</v>
      </c>
      <c r="I182" s="8">
        <f>Lähtöarvot!AL182</f>
        <v>0</v>
      </c>
      <c r="J182" s="8">
        <f>Lähtöarvot!AO182</f>
        <v>67.228980000000007</v>
      </c>
    </row>
    <row r="183" spans="1:10" x14ac:dyDescent="0.2">
      <c r="A183" s="6">
        <f>Lähtöarvot!A183</f>
        <v>191</v>
      </c>
      <c r="B183" s="7" t="str">
        <f>Lähtöarvot!B183</f>
        <v>Puistomuuntamo: ulkoa hoidettava luokka 4, pj-keskuksen In enintään 630 A, 4 kennoa erottimilla</v>
      </c>
      <c r="C183" s="8">
        <f>Lähtöarvot!C183</f>
        <v>5809.2812192499987</v>
      </c>
      <c r="D183" s="9" t="str">
        <f>Lähtöarvot!D183</f>
        <v>kpl</v>
      </c>
      <c r="E183" s="13"/>
      <c r="F183" s="8"/>
      <c r="G183" s="8">
        <f>Lähtöarvot!E183</f>
        <v>5680.3221499999991</v>
      </c>
      <c r="H183" s="8">
        <f>Lähtöarvot!AI183</f>
        <v>4.5854562499999991</v>
      </c>
      <c r="I183" s="8">
        <f>Lähtöarvot!AL183</f>
        <v>0</v>
      </c>
      <c r="J183" s="8">
        <f>Lähtöarvot!AO183</f>
        <v>124.37361300000001</v>
      </c>
    </row>
    <row r="184" spans="1:10" s="203" customFormat="1" x14ac:dyDescent="0.2">
      <c r="A184" s="201">
        <f>Lähtöarvot!A184</f>
        <v>192</v>
      </c>
      <c r="B184" s="196" t="str">
        <f>Lähtöarvot!B184</f>
        <v>Puistomuuntamo: sisältä hoidettava luokka 0, pj-keskuksen In enintään 630 A, ilman erotinta</v>
      </c>
      <c r="C184" s="197">
        <f>Lähtöarvot!C184</f>
        <v>0</v>
      </c>
      <c r="D184" s="198" t="str">
        <f>Lähtöarvot!D184</f>
        <v>kpl</v>
      </c>
      <c r="E184" s="202"/>
      <c r="F184" s="197"/>
      <c r="G184" s="197">
        <f>Lähtöarvot!E184</f>
        <v>0</v>
      </c>
      <c r="H184" s="197">
        <f>Lähtöarvot!AI184</f>
        <v>0</v>
      </c>
      <c r="I184" s="197">
        <f>Lähtöarvot!AL184</f>
        <v>0</v>
      </c>
      <c r="J184" s="197">
        <f>Lähtöarvot!AO184</f>
        <v>0</v>
      </c>
    </row>
    <row r="185" spans="1:10" s="203" customFormat="1" x14ac:dyDescent="0.2">
      <c r="A185" s="201">
        <f>Lähtöarvot!A185</f>
        <v>193</v>
      </c>
      <c r="B185" s="196" t="str">
        <f>Lähtöarvot!B185</f>
        <v>Puistomuuntamo: sisältä hoidettava luokka 1, pj-keskuksen In enintään 630 A, 1 kenno erottimella</v>
      </c>
      <c r="C185" s="197">
        <f>Lähtöarvot!C185</f>
        <v>0</v>
      </c>
      <c r="D185" s="198" t="str">
        <f>Lähtöarvot!D185</f>
        <v>kpl</v>
      </c>
      <c r="E185" s="202"/>
      <c r="F185" s="197"/>
      <c r="G185" s="197">
        <f>Lähtöarvot!E185</f>
        <v>0</v>
      </c>
      <c r="H185" s="197">
        <f>Lähtöarvot!AI185</f>
        <v>0</v>
      </c>
      <c r="I185" s="197">
        <f>Lähtöarvot!AL185</f>
        <v>0</v>
      </c>
      <c r="J185" s="197">
        <f>Lähtöarvot!AO185</f>
        <v>0</v>
      </c>
    </row>
    <row r="186" spans="1:10" s="203" customFormat="1" x14ac:dyDescent="0.2">
      <c r="A186" s="201">
        <f>Lähtöarvot!A186</f>
        <v>194</v>
      </c>
      <c r="B186" s="196" t="str">
        <f>Lähtöarvot!B186</f>
        <v>Puistomuuntamo: sisältä hoidettava luokka 2, pj-keskuksen In enintään 630 A, 2 kennoa erottimilla</v>
      </c>
      <c r="C186" s="197">
        <f>Lähtöarvot!C186</f>
        <v>0</v>
      </c>
      <c r="D186" s="198" t="str">
        <f>Lähtöarvot!D186</f>
        <v>kpl</v>
      </c>
      <c r="E186" s="202"/>
      <c r="F186" s="197"/>
      <c r="G186" s="197">
        <f>Lähtöarvot!E186</f>
        <v>0</v>
      </c>
      <c r="H186" s="197">
        <f>Lähtöarvot!AI186</f>
        <v>0</v>
      </c>
      <c r="I186" s="197">
        <f>Lähtöarvot!AL186</f>
        <v>0</v>
      </c>
      <c r="J186" s="197">
        <f>Lähtöarvot!AO186</f>
        <v>0</v>
      </c>
    </row>
    <row r="187" spans="1:10" s="203" customFormat="1" x14ac:dyDescent="0.2">
      <c r="A187" s="201">
        <f>Lähtöarvot!A187</f>
        <v>195</v>
      </c>
      <c r="B187" s="196" t="str">
        <f>Lähtöarvot!B187</f>
        <v>Puistomuuntamo: sisältä hoidettava luokka 3, pj-keskuksen In enintään 630 A, 3 kennoa erottimilla</v>
      </c>
      <c r="C187" s="197">
        <f>Lähtöarvot!C187</f>
        <v>0</v>
      </c>
      <c r="D187" s="198" t="str">
        <f>Lähtöarvot!D187</f>
        <v>kpl</v>
      </c>
      <c r="E187" s="202"/>
      <c r="F187" s="197"/>
      <c r="G187" s="197">
        <f>Lähtöarvot!E187</f>
        <v>0</v>
      </c>
      <c r="H187" s="197">
        <f>Lähtöarvot!AI187</f>
        <v>0</v>
      </c>
      <c r="I187" s="197">
        <f>Lähtöarvot!AL187</f>
        <v>0</v>
      </c>
      <c r="J187" s="197">
        <f>Lähtöarvot!AO187</f>
        <v>0</v>
      </c>
    </row>
    <row r="188" spans="1:10" s="203" customFormat="1" x14ac:dyDescent="0.2">
      <c r="A188" s="201">
        <f>Lähtöarvot!A188</f>
        <v>196</v>
      </c>
      <c r="B188" s="196" t="str">
        <f>Lähtöarvot!B188</f>
        <v>Puistomuuntamo: sisältä hoidettava luokka 4, pj-keskuksen In enintään 630 A, vähintään 4 kennoa erottimilla</v>
      </c>
      <c r="C188" s="197">
        <f>Lähtöarvot!C188</f>
        <v>0</v>
      </c>
      <c r="D188" s="198" t="str">
        <f>Lähtöarvot!D188</f>
        <v>kpl</v>
      </c>
      <c r="E188" s="202"/>
      <c r="F188" s="197"/>
      <c r="G188" s="197">
        <f>Lähtöarvot!E188</f>
        <v>0</v>
      </c>
      <c r="H188" s="197">
        <f>Lähtöarvot!AI188</f>
        <v>0</v>
      </c>
      <c r="I188" s="197">
        <f>Lähtöarvot!AL188</f>
        <v>0</v>
      </c>
      <c r="J188" s="197">
        <f>Lähtöarvot!AO188</f>
        <v>0</v>
      </c>
    </row>
    <row r="189" spans="1:10" x14ac:dyDescent="0.2">
      <c r="A189" s="6">
        <f>Lähtöarvot!A189</f>
        <v>197</v>
      </c>
      <c r="B189" s="7" t="str">
        <f>Lähtöarvot!B189</f>
        <v>Puistomuuntamo: ulkoa hoidettava luokka 1, pj-keskuksen In yli 630 A, enintään 1 kenno erottimella</v>
      </c>
      <c r="C189" s="8">
        <f>Lähtöarvot!C189</f>
        <v>2582.1015862499994</v>
      </c>
      <c r="D189" s="9" t="str">
        <f>Lähtöarvot!D189</f>
        <v>kpl</v>
      </c>
      <c r="E189" s="13"/>
      <c r="F189" s="8"/>
      <c r="G189" s="8">
        <f>Lähtöarvot!E189</f>
        <v>2510.2871499999997</v>
      </c>
      <c r="H189" s="8">
        <f>Lähtöarvot!AI189</f>
        <v>4.5854562499999991</v>
      </c>
      <c r="I189" s="8">
        <f>Lähtöarvot!AL189</f>
        <v>0</v>
      </c>
      <c r="J189" s="8">
        <f>Lähtöarvot!AO189</f>
        <v>67.228980000000007</v>
      </c>
    </row>
    <row r="190" spans="1:10" x14ac:dyDescent="0.2">
      <c r="A190" s="6">
        <f>Lähtöarvot!A190</f>
        <v>198</v>
      </c>
      <c r="B190" s="7" t="str">
        <f>Lähtöarvot!B190</f>
        <v>Puistomuuntamo: ulkoa hoidettava luokka 2, pj-keskuksen In yli 630 A, 2 kennoa erottimilla</v>
      </c>
      <c r="C190" s="8">
        <f>Lähtöarvot!C190</f>
        <v>3114.374919583332</v>
      </c>
      <c r="D190" s="9" t="str">
        <f>Lähtöarvot!D190</f>
        <v>kpl</v>
      </c>
      <c r="E190" s="13"/>
      <c r="F190" s="8"/>
      <c r="G190" s="8">
        <f>Lähtöarvot!E190</f>
        <v>3042.5604833333323</v>
      </c>
      <c r="H190" s="8">
        <f>Lähtöarvot!AI190</f>
        <v>4.5854562499999991</v>
      </c>
      <c r="I190" s="8">
        <f>Lähtöarvot!AL190</f>
        <v>0</v>
      </c>
      <c r="J190" s="8">
        <f>Lähtöarvot!AO190</f>
        <v>67.228980000000007</v>
      </c>
    </row>
    <row r="191" spans="1:10" x14ac:dyDescent="0.2">
      <c r="A191" s="6">
        <f>Lähtöarvot!A191</f>
        <v>199</v>
      </c>
      <c r="B191" s="7" t="str">
        <f>Lähtöarvot!B191</f>
        <v>Puistomuuntamo: ulkoa hoidettava luokka 3, pj-keskuksen In yli 630 A, 3 kennoa erottimilla</v>
      </c>
      <c r="C191" s="8">
        <f>Lähtöarvot!C191</f>
        <v>3646.6482529166651</v>
      </c>
      <c r="D191" s="9" t="str">
        <f>Lähtöarvot!D191</f>
        <v>kpl</v>
      </c>
      <c r="E191" s="13"/>
      <c r="F191" s="8"/>
      <c r="G191" s="8">
        <f>Lähtöarvot!E191</f>
        <v>3574.8338166666654</v>
      </c>
      <c r="H191" s="8">
        <f>Lähtöarvot!AI191</f>
        <v>4.5854562499999991</v>
      </c>
      <c r="I191" s="8">
        <f>Lähtöarvot!AL191</f>
        <v>0</v>
      </c>
      <c r="J191" s="8">
        <f>Lähtöarvot!AO191</f>
        <v>67.228980000000007</v>
      </c>
    </row>
    <row r="192" spans="1:10" x14ac:dyDescent="0.2">
      <c r="A192" s="6">
        <f>Lähtöarvot!A192</f>
        <v>200</v>
      </c>
      <c r="B192" s="7" t="str">
        <f>Lähtöarvot!B192</f>
        <v>Puistomuuntamo: ulkoa hoidettava luokka 4, pj-keskuksen In yli 630 A, 4 kennoa erottimilla</v>
      </c>
      <c r="C192" s="8">
        <f>Lähtöarvot!C192</f>
        <v>5809.2812192499987</v>
      </c>
      <c r="D192" s="9" t="str">
        <f>Lähtöarvot!D192</f>
        <v>kpl</v>
      </c>
      <c r="E192" s="13"/>
      <c r="F192" s="8"/>
      <c r="G192" s="8">
        <f>Lähtöarvot!E192</f>
        <v>5680.3221499999991</v>
      </c>
      <c r="H192" s="8">
        <f>Lähtöarvot!AI192</f>
        <v>4.5854562499999991</v>
      </c>
      <c r="I192" s="8">
        <f>Lähtöarvot!AL192</f>
        <v>0</v>
      </c>
      <c r="J192" s="8">
        <f>Lähtöarvot!AO192</f>
        <v>124.37361300000001</v>
      </c>
    </row>
    <row r="193" spans="1:10" x14ac:dyDescent="0.2">
      <c r="A193" s="6">
        <f>Lähtöarvot!A193</f>
        <v>201</v>
      </c>
      <c r="B193" s="7" t="str">
        <f>Lähtöarvot!B193</f>
        <v>Puistomuuntamo: ulkoa hoidettava luokka 5, pj-keskuksen In yli 630 A, vähintään 5 kennoa erottimilla</v>
      </c>
      <c r="C193" s="8">
        <f>Lähtöarvot!C193</f>
        <v>6341.5545525833313</v>
      </c>
      <c r="D193" s="9" t="str">
        <f>Lähtöarvot!D193</f>
        <v>kpl</v>
      </c>
      <c r="E193" s="13"/>
      <c r="F193" s="8"/>
      <c r="G193" s="8">
        <f>Lähtöarvot!E193</f>
        <v>6212.5954833333317</v>
      </c>
      <c r="H193" s="8">
        <f>Lähtöarvot!AI193</f>
        <v>4.5854562499999991</v>
      </c>
      <c r="I193" s="8">
        <f>Lähtöarvot!AL193</f>
        <v>0</v>
      </c>
      <c r="J193" s="8">
        <f>Lähtöarvot!AO193</f>
        <v>124.37361300000001</v>
      </c>
    </row>
    <row r="194" spans="1:10" s="203" customFormat="1" x14ac:dyDescent="0.2">
      <c r="A194" s="201">
        <f>Lähtöarvot!A194</f>
        <v>202</v>
      </c>
      <c r="B194" s="196" t="str">
        <f>Lähtöarvot!B194</f>
        <v>Puistomuuntamo: sisältä hoidettava luokka 1, pj-keskuksen In yli 630 A, enintään 1 kenno erottimella</v>
      </c>
      <c r="C194" s="197">
        <f>Lähtöarvot!C194</f>
        <v>0</v>
      </c>
      <c r="D194" s="198" t="str">
        <f>Lähtöarvot!D194</f>
        <v>kpl</v>
      </c>
      <c r="E194" s="202"/>
      <c r="F194" s="197"/>
      <c r="G194" s="197">
        <f>Lähtöarvot!E194</f>
        <v>0</v>
      </c>
      <c r="H194" s="197">
        <f>Lähtöarvot!AI194</f>
        <v>0</v>
      </c>
      <c r="I194" s="197">
        <f>Lähtöarvot!AL194</f>
        <v>0</v>
      </c>
      <c r="J194" s="197">
        <f>Lähtöarvot!AO194</f>
        <v>0</v>
      </c>
    </row>
    <row r="195" spans="1:10" s="203" customFormat="1" x14ac:dyDescent="0.2">
      <c r="A195" s="201">
        <f>Lähtöarvot!A195</f>
        <v>203</v>
      </c>
      <c r="B195" s="196" t="str">
        <f>Lähtöarvot!B195</f>
        <v>Puistomuuntamo: sisältä hoidettava luokka 2, pj-keskuksen In yli 630 A, 2 kennoa erottimilla</v>
      </c>
      <c r="C195" s="197">
        <f>Lähtöarvot!C195</f>
        <v>0</v>
      </c>
      <c r="D195" s="198" t="str">
        <f>Lähtöarvot!D195</f>
        <v>kpl</v>
      </c>
      <c r="E195" s="202"/>
      <c r="F195" s="197"/>
      <c r="G195" s="197">
        <f>Lähtöarvot!E195</f>
        <v>0</v>
      </c>
      <c r="H195" s="197">
        <f>Lähtöarvot!AI195</f>
        <v>0</v>
      </c>
      <c r="I195" s="197">
        <f>Lähtöarvot!AL195</f>
        <v>0</v>
      </c>
      <c r="J195" s="197">
        <f>Lähtöarvot!AO195</f>
        <v>0</v>
      </c>
    </row>
    <row r="196" spans="1:10" s="203" customFormat="1" x14ac:dyDescent="0.2">
      <c r="A196" s="201">
        <f>Lähtöarvot!A196</f>
        <v>204</v>
      </c>
      <c r="B196" s="196" t="str">
        <f>Lähtöarvot!B196</f>
        <v>Puistomuuntamo: sisältä hoidettava luokka 3, pj-keskuksen In yli 630 A, 3 kennoa erottimilla</v>
      </c>
      <c r="C196" s="197">
        <f>Lähtöarvot!C196</f>
        <v>0</v>
      </c>
      <c r="D196" s="198" t="str">
        <f>Lähtöarvot!D196</f>
        <v>kpl</v>
      </c>
      <c r="E196" s="202"/>
      <c r="F196" s="197"/>
      <c r="G196" s="197">
        <f>Lähtöarvot!E196</f>
        <v>0</v>
      </c>
      <c r="H196" s="197">
        <f>Lähtöarvot!AI196</f>
        <v>0</v>
      </c>
      <c r="I196" s="197">
        <f>Lähtöarvot!AL196</f>
        <v>0</v>
      </c>
      <c r="J196" s="197">
        <f>Lähtöarvot!AO196</f>
        <v>0</v>
      </c>
    </row>
    <row r="197" spans="1:10" s="203" customFormat="1" x14ac:dyDescent="0.2">
      <c r="A197" s="201">
        <f>Lähtöarvot!A197</f>
        <v>205</v>
      </c>
      <c r="B197" s="196" t="str">
        <f>Lähtöarvot!B197</f>
        <v>Puistomuuntamo: sisältä hoidettava luokka 4, pj-keskuksen In yli 630 A, 4 kennoa erottimilla</v>
      </c>
      <c r="C197" s="197">
        <f>Lähtöarvot!C197</f>
        <v>0</v>
      </c>
      <c r="D197" s="198" t="str">
        <f>Lähtöarvot!D197</f>
        <v>kpl</v>
      </c>
      <c r="E197" s="202"/>
      <c r="F197" s="197"/>
      <c r="G197" s="197">
        <f>Lähtöarvot!E197</f>
        <v>0</v>
      </c>
      <c r="H197" s="197">
        <f>Lähtöarvot!AI197</f>
        <v>0</v>
      </c>
      <c r="I197" s="197">
        <f>Lähtöarvot!AL197</f>
        <v>0</v>
      </c>
      <c r="J197" s="197">
        <f>Lähtöarvot!AO197</f>
        <v>0</v>
      </c>
    </row>
    <row r="198" spans="1:10" s="203" customFormat="1" x14ac:dyDescent="0.2">
      <c r="A198" s="201">
        <f>Lähtöarvot!A198</f>
        <v>206</v>
      </c>
      <c r="B198" s="196" t="str">
        <f>Lähtöarvot!B198</f>
        <v>Puistomuuntamo sisältä hoidettava luokka 5, pj-keskuksen In yli 630 A, vähintään 5 kennoa erottimilla</v>
      </c>
      <c r="C198" s="197">
        <f>Lähtöarvot!C198</f>
        <v>0</v>
      </c>
      <c r="D198" s="198" t="str">
        <f>Lähtöarvot!D198</f>
        <v>kpl</v>
      </c>
      <c r="E198" s="202"/>
      <c r="F198" s="197"/>
      <c r="G198" s="197">
        <f>Lähtöarvot!E198</f>
        <v>0</v>
      </c>
      <c r="H198" s="197">
        <f>Lähtöarvot!AI198</f>
        <v>0</v>
      </c>
      <c r="I198" s="197">
        <f>Lähtöarvot!AL198</f>
        <v>0</v>
      </c>
      <c r="J198" s="197">
        <f>Lähtöarvot!AO198</f>
        <v>0</v>
      </c>
    </row>
    <row r="199" spans="1:10" x14ac:dyDescent="0.2">
      <c r="A199" s="6">
        <f>Lähtöarvot!A199</f>
        <v>207</v>
      </c>
      <c r="B199" s="7" t="str">
        <f>Lähtöarvot!B199</f>
        <v>Paloeristetty puistomuuntamo luokka 1: enintään 4 kennoa erottimilla</v>
      </c>
      <c r="C199" s="8">
        <f>Lähtöarvot!C199</f>
        <v>6092.3345695833323</v>
      </c>
      <c r="D199" s="9" t="str">
        <f>Lähtöarvot!D199</f>
        <v>kpl</v>
      </c>
      <c r="E199" s="13"/>
      <c r="F199" s="8"/>
      <c r="G199" s="8">
        <f>Lähtöarvot!E199</f>
        <v>5724.3924833333322</v>
      </c>
      <c r="H199" s="8">
        <f>Lähtöarvot!AI199</f>
        <v>4.5854562499999991</v>
      </c>
      <c r="I199" s="8">
        <f>Lähtöarvot!AL199</f>
        <v>0</v>
      </c>
      <c r="J199" s="8">
        <f>Lähtöarvot!AO199</f>
        <v>363.35663000000005</v>
      </c>
    </row>
    <row r="200" spans="1:10" x14ac:dyDescent="0.2">
      <c r="A200" s="6">
        <f>Lähtöarvot!A200</f>
        <v>208</v>
      </c>
      <c r="B200" s="7" t="str">
        <f>Lähtöarvot!B200</f>
        <v>Paloeristetty puistomuuntamo luokka 2: vähintään 5 kennoa erottimilla</v>
      </c>
      <c r="C200" s="8">
        <f>Lähtöarvot!C200</f>
        <v>6624.6079029166649</v>
      </c>
      <c r="D200" s="9" t="str">
        <f>Lähtöarvot!D200</f>
        <v>kpl</v>
      </c>
      <c r="E200" s="13"/>
      <c r="F200" s="8"/>
      <c r="G200" s="8">
        <f>Lähtöarvot!E200</f>
        <v>6256.6658166666648</v>
      </c>
      <c r="H200" s="8">
        <f>Lähtöarvot!AI200</f>
        <v>4.5854562499999991</v>
      </c>
      <c r="I200" s="8">
        <f>Lähtöarvot!AL200</f>
        <v>0</v>
      </c>
      <c r="J200" s="8">
        <f>Lähtöarvot!AO200</f>
        <v>363.35663000000005</v>
      </c>
    </row>
    <row r="201" spans="1:10" x14ac:dyDescent="0.2">
      <c r="A201" s="6">
        <f>Lähtöarvot!A201</f>
        <v>209</v>
      </c>
      <c r="B201" s="7" t="str">
        <f>Lähtöarvot!B201</f>
        <v>Kiinteistömuuntamo luokka 1: enintään 3 kennoa erottimilla</v>
      </c>
      <c r="C201" s="8">
        <f>Lähtöarvot!C201</f>
        <v>1661.3034124999988</v>
      </c>
      <c r="D201" s="9" t="str">
        <f>Lähtöarvot!D201</f>
        <v>kpl</v>
      </c>
      <c r="E201" s="13"/>
      <c r="F201" s="8"/>
      <c r="G201" s="8">
        <f>Lähtöarvot!E201</f>
        <v>1652.1324999999988</v>
      </c>
      <c r="H201" s="8">
        <f>Lähtöarvot!AI201</f>
        <v>9.1709124999999982</v>
      </c>
      <c r="I201" s="8">
        <f>Lähtöarvot!AL201</f>
        <v>0</v>
      </c>
      <c r="J201" s="8">
        <f>Lähtöarvot!AO201</f>
        <v>0</v>
      </c>
    </row>
    <row r="202" spans="1:10" x14ac:dyDescent="0.2">
      <c r="A202" s="6">
        <f>Lähtöarvot!A202</f>
        <v>210</v>
      </c>
      <c r="B202" s="7" t="str">
        <f>Lähtöarvot!B202</f>
        <v>Kiinteistömuuntamo luokka 2: 4 kennoa erottimilla</v>
      </c>
      <c r="C202" s="8">
        <f>Lähtöarvot!C202</f>
        <v>2193.5767458333321</v>
      </c>
      <c r="D202" s="9" t="str">
        <f>Lähtöarvot!D202</f>
        <v>kpl</v>
      </c>
      <c r="E202" s="13"/>
      <c r="F202" s="8"/>
      <c r="G202" s="8">
        <f>Lähtöarvot!E202</f>
        <v>2184.4058333333319</v>
      </c>
      <c r="H202" s="8">
        <f>Lähtöarvot!AI202</f>
        <v>9.1709124999999982</v>
      </c>
      <c r="I202" s="8">
        <f>Lähtöarvot!AL202</f>
        <v>0</v>
      </c>
      <c r="J202" s="8">
        <f>Lähtöarvot!AO202</f>
        <v>0</v>
      </c>
    </row>
    <row r="203" spans="1:10" x14ac:dyDescent="0.2">
      <c r="A203" s="6">
        <f>Lähtöarvot!A203</f>
        <v>211</v>
      </c>
      <c r="B203" s="7" t="str">
        <f>Lähtöarvot!B203</f>
        <v>Kiinteistömuuntamo luokka 3: vähintään 5 kennoa erottimilla</v>
      </c>
      <c r="C203" s="8">
        <f>Lähtöarvot!C203</f>
        <v>2725.8500791666652</v>
      </c>
      <c r="D203" s="9" t="str">
        <f>Lähtöarvot!D203</f>
        <v>kpl</v>
      </c>
      <c r="E203" s="13"/>
      <c r="F203" s="8"/>
      <c r="G203" s="8">
        <f>Lähtöarvot!E203</f>
        <v>2716.679166666665</v>
      </c>
      <c r="H203" s="8">
        <f>Lähtöarvot!AI203</f>
        <v>9.1709124999999982</v>
      </c>
      <c r="I203" s="8">
        <f>Lähtöarvot!AL203</f>
        <v>0</v>
      </c>
      <c r="J203" s="8">
        <f>Lähtöarvot!AO203</f>
        <v>0</v>
      </c>
    </row>
    <row r="204" spans="1:10" x14ac:dyDescent="0.2">
      <c r="A204" s="6">
        <f>Lähtöarvot!A204</f>
        <v>212</v>
      </c>
      <c r="B204" s="7" t="str">
        <f>Lähtöarvot!B204</f>
        <v>Kaksoispuistomuuntamo: vähintään 4 kennoa erottimilla</v>
      </c>
      <c r="C204" s="8">
        <f>Lähtöarvot!C204</f>
        <v>6057.7479068333314</v>
      </c>
      <c r="D204" s="9" t="str">
        <f>Lähtöarvot!D204</f>
        <v>kpl</v>
      </c>
      <c r="E204" s="13"/>
      <c r="F204" s="8"/>
      <c r="G204" s="8">
        <f>Lähtöarvot!E204</f>
        <v>5917.4804833333319</v>
      </c>
      <c r="H204" s="8">
        <f>Lähtöarvot!AI204</f>
        <v>9.1709124999999982</v>
      </c>
      <c r="I204" s="8">
        <f>Lähtöarvot!AL204</f>
        <v>0</v>
      </c>
      <c r="J204" s="8">
        <f>Lähtöarvot!AO204</f>
        <v>131.09651100000002</v>
      </c>
    </row>
    <row r="205" spans="1:10" x14ac:dyDescent="0.2">
      <c r="A205" s="6">
        <f>Lähtöarvot!A205</f>
        <v>213</v>
      </c>
      <c r="B205" s="7" t="str">
        <f>Lähtöarvot!B205</f>
        <v>Paloeristetty kaksoispuistomuuntamo: vähintään 4 kennoa erottimineen</v>
      </c>
      <c r="C205" s="8">
        <f>Lähtöarvot!C205</f>
        <v>8719.8290458333304</v>
      </c>
      <c r="D205" s="9" t="str">
        <f>Lähtöarvot!D205</f>
        <v>kpl</v>
      </c>
      <c r="E205" s="13"/>
      <c r="F205" s="8"/>
      <c r="G205" s="8">
        <f>Lähtöarvot!E205</f>
        <v>8094.3924833333303</v>
      </c>
      <c r="H205" s="8">
        <f>Lähtöarvot!AI205</f>
        <v>9.1709124999999982</v>
      </c>
      <c r="I205" s="8">
        <f>Lähtöarvot!AL205</f>
        <v>0</v>
      </c>
      <c r="J205" s="8">
        <f>Lähtöarvot!AO205</f>
        <v>616.26565000000005</v>
      </c>
    </row>
    <row r="206" spans="1:10" x14ac:dyDescent="0.2">
      <c r="A206" s="6">
        <f>Lähtöarvot!A206</f>
        <v>214</v>
      </c>
      <c r="B206" s="7" t="str">
        <f>Lähtöarvot!B206</f>
        <v>Kaksoiskiinteistömuuntamo: vähintään 4 kennoa erottimilla</v>
      </c>
      <c r="C206" s="8">
        <f>Lähtöarvot!C206</f>
        <v>2193.5767458333321</v>
      </c>
      <c r="D206" s="9" t="str">
        <f>Lähtöarvot!D206</f>
        <v>kpl</v>
      </c>
      <c r="E206" s="13"/>
      <c r="F206" s="8"/>
      <c r="G206" s="8">
        <f>Lähtöarvot!E206</f>
        <v>2184.4058333333319</v>
      </c>
      <c r="H206" s="8">
        <f>Lähtöarvot!AI206</f>
        <v>9.1709124999999982</v>
      </c>
      <c r="I206" s="8">
        <f>Lähtöarvot!AL206</f>
        <v>0</v>
      </c>
      <c r="J206" s="8">
        <f>Lähtöarvot!AO206</f>
        <v>0</v>
      </c>
    </row>
    <row r="207" spans="1:10" s="203" customFormat="1" x14ac:dyDescent="0.2">
      <c r="A207" s="201">
        <f>Lähtöarvot!A207</f>
        <v>215</v>
      </c>
      <c r="B207" s="196" t="str">
        <f>Lähtöarvot!B207</f>
        <v>Kolmikäämimuuntaja enintään 150 kVA</v>
      </c>
      <c r="C207" s="197">
        <f>Lähtöarvot!C207</f>
        <v>0</v>
      </c>
      <c r="D207" s="198" t="str">
        <f>Lähtöarvot!D207</f>
        <v>kpl</v>
      </c>
      <c r="E207" s="202"/>
      <c r="F207" s="197"/>
      <c r="G207" s="197">
        <f>Lähtöarvot!E207</f>
        <v>0</v>
      </c>
      <c r="H207" s="197">
        <f>Lähtöarvot!AI207</f>
        <v>0</v>
      </c>
      <c r="I207" s="197">
        <f>Lähtöarvot!AL207</f>
        <v>0</v>
      </c>
      <c r="J207" s="197">
        <f>Lähtöarvot!AO207</f>
        <v>0</v>
      </c>
    </row>
    <row r="208" spans="1:10" s="203" customFormat="1" x14ac:dyDescent="0.2">
      <c r="A208" s="201">
        <f>Lähtöarvot!A208</f>
        <v>216</v>
      </c>
      <c r="B208" s="196" t="str">
        <f>Lähtöarvot!B208</f>
        <v>Kolmikäämimuuntaja yli 150 kVA</v>
      </c>
      <c r="C208" s="197">
        <f>Lähtöarvot!C208</f>
        <v>0</v>
      </c>
      <c r="D208" s="198" t="str">
        <f>Lähtöarvot!D208</f>
        <v>kpl</v>
      </c>
      <c r="E208" s="202"/>
      <c r="F208" s="197"/>
      <c r="G208" s="197">
        <f>Lähtöarvot!E208</f>
        <v>0</v>
      </c>
      <c r="H208" s="197">
        <f>Lähtöarvot!AI208</f>
        <v>0</v>
      </c>
      <c r="I208" s="197">
        <f>Lähtöarvot!AL208</f>
        <v>0</v>
      </c>
      <c r="J208" s="197">
        <f>Lähtöarvot!AO208</f>
        <v>0</v>
      </c>
    </row>
    <row r="209" spans="1:10" x14ac:dyDescent="0.2">
      <c r="A209" s="6">
        <f>Lähtöarvot!A209</f>
        <v>217</v>
      </c>
      <c r="B209" s="7" t="str">
        <f>Lähtöarvot!B209</f>
        <v>Muuntaja 20 / 10 kV</v>
      </c>
      <c r="C209" s="8">
        <f>Lähtöarvot!C209</f>
        <v>18020.912699336193</v>
      </c>
      <c r="D209" s="9" t="str">
        <f>Lähtöarvot!D209</f>
        <v>kpl</v>
      </c>
      <c r="E209" s="13"/>
      <c r="F209" s="8"/>
      <c r="G209" s="8">
        <f>Lähtöarvot!E209</f>
        <v>18011.741786836192</v>
      </c>
      <c r="H209" s="8">
        <f>Lähtöarvot!AI209</f>
        <v>9.1709124999999982</v>
      </c>
      <c r="I209" s="8">
        <f>Lähtöarvot!AL209</f>
        <v>0</v>
      </c>
      <c r="J209" s="8">
        <f>Lähtöarvot!AO209</f>
        <v>0</v>
      </c>
    </row>
    <row r="210" spans="1:10" s="203" customFormat="1" x14ac:dyDescent="0.2">
      <c r="A210" s="201">
        <f>Lähtöarvot!A210</f>
        <v>218</v>
      </c>
      <c r="B210" s="196" t="str">
        <f>Lähtöarvot!B210</f>
        <v>Muuntaja 45 / 20 kV</v>
      </c>
      <c r="C210" s="197">
        <f>Lähtöarvot!C210</f>
        <v>0</v>
      </c>
      <c r="D210" s="198" t="str">
        <f>Lähtöarvot!D210</f>
        <v>kpl</v>
      </c>
      <c r="E210" s="202"/>
      <c r="F210" s="197"/>
      <c r="G210" s="197">
        <f>Lähtöarvot!E210</f>
        <v>0</v>
      </c>
      <c r="H210" s="197">
        <f>Lähtöarvot!AI210</f>
        <v>0</v>
      </c>
      <c r="I210" s="197">
        <f>Lähtöarvot!AL210</f>
        <v>0</v>
      </c>
      <c r="J210" s="197">
        <f>Lähtöarvot!AO210</f>
        <v>0</v>
      </c>
    </row>
    <row r="211" spans="1:10" s="203" customFormat="1" x14ac:dyDescent="0.2">
      <c r="A211" s="201">
        <f>Lähtöarvot!A211</f>
        <v>219</v>
      </c>
      <c r="B211" s="196" t="str">
        <f>Lähtöarvot!B211</f>
        <v>Muuntaja 45 / 20 kV</v>
      </c>
      <c r="C211" s="197">
        <f>Lähtöarvot!C211</f>
        <v>0</v>
      </c>
      <c r="D211" s="198" t="str">
        <f>Lähtöarvot!D211</f>
        <v>kpl</v>
      </c>
      <c r="E211" s="202"/>
      <c r="F211" s="197"/>
      <c r="G211" s="197">
        <f>Lähtöarvot!E211</f>
        <v>0</v>
      </c>
      <c r="H211" s="197">
        <f>Lähtöarvot!AI211</f>
        <v>0</v>
      </c>
      <c r="I211" s="197">
        <f>Lähtöarvot!AL211</f>
        <v>0</v>
      </c>
      <c r="J211" s="197">
        <f>Lähtöarvot!AO211</f>
        <v>0</v>
      </c>
    </row>
    <row r="212" spans="1:10" x14ac:dyDescent="0.2">
      <c r="A212" s="6"/>
      <c r="B212" s="7"/>
      <c r="C212" s="8"/>
      <c r="E212" s="200"/>
      <c r="F212" s="8"/>
      <c r="G212" s="8"/>
      <c r="H212" s="8"/>
      <c r="I212" s="8"/>
      <c r="J212" s="8"/>
    </row>
    <row r="213" spans="1:10" x14ac:dyDescent="0.2">
      <c r="A213" s="6"/>
      <c r="B213" s="7"/>
      <c r="C213" s="8"/>
      <c r="E213" s="200"/>
      <c r="F213" s="8"/>
      <c r="G213" s="8"/>
      <c r="H213" s="8"/>
      <c r="I213" s="8"/>
      <c r="J21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CC6-C8B6-4154-AC32-6C20DB3D46CC}">
  <dimension ref="A2:G7"/>
  <sheetViews>
    <sheetView workbookViewId="0">
      <selection activeCell="C4" sqref="C4"/>
    </sheetView>
  </sheetViews>
  <sheetFormatPr baseColWidth="10" defaultColWidth="9.1640625" defaultRowHeight="15" x14ac:dyDescent="0.2"/>
  <cols>
    <col min="1" max="1" width="10.5" style="11" customWidth="1"/>
    <col min="2" max="2" width="12.5" style="11" customWidth="1"/>
    <col min="3" max="3" width="10.5" style="11" customWidth="1"/>
    <col min="4" max="4" width="13" style="11" customWidth="1"/>
    <col min="5" max="5" width="11" style="11" customWidth="1"/>
    <col min="6" max="16384" width="9.1640625" style="11"/>
  </cols>
  <sheetData>
    <row r="2" spans="1:7" x14ac:dyDescent="0.2">
      <c r="A2" s="178"/>
      <c r="B2" s="178" t="s">
        <v>182</v>
      </c>
      <c r="C2" s="178" t="s">
        <v>183</v>
      </c>
      <c r="D2" s="178" t="s">
        <v>186</v>
      </c>
      <c r="E2" s="178" t="s">
        <v>185</v>
      </c>
      <c r="F2" s="11" t="s">
        <v>187</v>
      </c>
    </row>
    <row r="3" spans="1:7" x14ac:dyDescent="0.2">
      <c r="A3" s="178" t="s">
        <v>188</v>
      </c>
      <c r="B3" s="65" cm="1">
        <f t="array" ref="B3">SUMPRODUCT(Määrät!E2:E211*Määrät!G2:G211)/1000</f>
        <v>0</v>
      </c>
      <c r="C3" s="65" cm="1">
        <f t="array" ref="C3">SUMPRODUCT(Määrät!E2:E211*Määrät!H2:H211)/1000</f>
        <v>0</v>
      </c>
      <c r="D3" s="65" cm="1">
        <f t="array" ref="D3">SUMPRODUCT(Määrät!E2:E211*Määrät!I2:I211)/1000</f>
        <v>0</v>
      </c>
      <c r="E3" s="65" cm="1">
        <f t="array" ref="E3">SUMPRODUCT(Määrät!E2:E211*Määrät!J2:J211)/1000</f>
        <v>0</v>
      </c>
    </row>
    <row r="4" spans="1:7" x14ac:dyDescent="0.2">
      <c r="A4" s="177" t="s">
        <v>189</v>
      </c>
      <c r="B4" s="178" t="s">
        <v>190</v>
      </c>
      <c r="C4" s="178"/>
      <c r="D4" s="178"/>
      <c r="E4" s="178"/>
      <c r="F4" s="11" t="s">
        <v>681</v>
      </c>
    </row>
    <row r="5" spans="1:7" x14ac:dyDescent="0.2">
      <c r="G5" s="11" t="s">
        <v>680</v>
      </c>
    </row>
    <row r="6" spans="1:7" ht="16" thickBot="1" x14ac:dyDescent="0.25"/>
    <row r="7" spans="1:7" ht="16" thickBot="1" x14ac:dyDescent="0.25">
      <c r="A7" s="11" t="s">
        <v>191</v>
      </c>
      <c r="B7" s="179">
        <f>B3+IF(ISNUMBER(C4),C4,C3)+IF(ISNUMBER(D4),D4,D3)+IF(ISNUMBER(E4),E4,E3)</f>
        <v>0</v>
      </c>
      <c r="C7" s="1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53F4-36E0-4D61-B183-99ABCEECCFE4}">
  <dimension ref="A1:S597"/>
  <sheetViews>
    <sheetView topLeftCell="A164" zoomScaleNormal="100" workbookViewId="0">
      <selection activeCell="H180" sqref="H180"/>
    </sheetView>
  </sheetViews>
  <sheetFormatPr baseColWidth="10" defaultColWidth="8.83203125" defaultRowHeight="15" x14ac:dyDescent="0.2"/>
  <cols>
    <col min="1" max="1" width="12.83203125" customWidth="1"/>
    <col min="3" max="3" width="13" customWidth="1"/>
    <col min="4" max="4" width="11" customWidth="1"/>
    <col min="5" max="5" width="12.6640625" customWidth="1"/>
    <col min="6" max="6" width="24.33203125" customWidth="1"/>
    <col min="7" max="7" width="10.83203125" customWidth="1"/>
    <col min="8" max="8" width="9" customWidth="1"/>
    <col min="9" max="9" width="10.5" customWidth="1"/>
    <col min="10" max="10" width="10.6640625" customWidth="1"/>
    <col min="11" max="11" width="16.83203125" customWidth="1"/>
    <col min="13" max="13" width="9.5" customWidth="1"/>
    <col min="15" max="15" width="10.6640625" customWidth="1"/>
  </cols>
  <sheetData>
    <row r="1" spans="1:12" x14ac:dyDescent="0.2">
      <c r="A1" t="s">
        <v>665</v>
      </c>
    </row>
    <row r="3" spans="1:12" x14ac:dyDescent="0.2">
      <c r="A3" s="170" t="s">
        <v>295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2">
      <c r="A4" s="48"/>
      <c r="B4" t="s">
        <v>360</v>
      </c>
    </row>
    <row r="5" spans="1:12" x14ac:dyDescent="0.2">
      <c r="A5" s="48"/>
      <c r="B5" t="s">
        <v>883</v>
      </c>
    </row>
    <row r="6" spans="1:12" x14ac:dyDescent="0.2">
      <c r="A6" s="48"/>
    </row>
    <row r="7" spans="1:12" x14ac:dyDescent="0.2">
      <c r="A7" s="48"/>
      <c r="C7" s="32" t="s">
        <v>352</v>
      </c>
      <c r="D7" s="72">
        <v>2.2799999999999998</v>
      </c>
      <c r="E7" s="33" t="s">
        <v>353</v>
      </c>
      <c r="F7" s="72">
        <v>31.5</v>
      </c>
      <c r="G7" s="34" t="s">
        <v>354</v>
      </c>
    </row>
    <row r="8" spans="1:12" x14ac:dyDescent="0.2">
      <c r="A8" s="48"/>
      <c r="C8" s="5" t="s">
        <v>355</v>
      </c>
      <c r="D8" s="8">
        <v>1.41</v>
      </c>
      <c r="E8" t="s">
        <v>353</v>
      </c>
      <c r="F8" s="8">
        <v>7.85</v>
      </c>
      <c r="G8" s="9" t="s">
        <v>354</v>
      </c>
    </row>
    <row r="9" spans="1:12" x14ac:dyDescent="0.2">
      <c r="A9" s="48"/>
      <c r="C9" s="5" t="s">
        <v>356</v>
      </c>
      <c r="D9" s="8">
        <v>2.88</v>
      </c>
      <c r="E9" t="s">
        <v>353</v>
      </c>
      <c r="F9" s="8">
        <v>39.9</v>
      </c>
      <c r="G9" s="9" t="s">
        <v>354</v>
      </c>
    </row>
    <row r="10" spans="1:12" x14ac:dyDescent="0.2">
      <c r="A10" s="48"/>
      <c r="C10" s="5" t="s">
        <v>357</v>
      </c>
      <c r="D10" s="8">
        <v>1.4</v>
      </c>
      <c r="E10" t="s">
        <v>353</v>
      </c>
      <c r="F10" s="8">
        <v>5.93</v>
      </c>
      <c r="G10" s="9" t="s">
        <v>354</v>
      </c>
    </row>
    <row r="11" spans="1:12" x14ac:dyDescent="0.2">
      <c r="A11" s="48"/>
      <c r="C11" s="36" t="s">
        <v>358</v>
      </c>
      <c r="D11" s="58">
        <v>2.895</v>
      </c>
      <c r="E11" s="1" t="s">
        <v>353</v>
      </c>
      <c r="F11" s="58">
        <v>20</v>
      </c>
      <c r="G11" s="3" t="s">
        <v>354</v>
      </c>
    </row>
    <row r="12" spans="1:12" ht="16" thickBot="1" x14ac:dyDescent="0.25">
      <c r="A12" s="48"/>
      <c r="C12" s="37" t="s">
        <v>214</v>
      </c>
      <c r="D12" s="75">
        <f>AVERAGE(D7:D11)</f>
        <v>2.1729999999999996</v>
      </c>
      <c r="E12" s="38" t="s">
        <v>353</v>
      </c>
      <c r="F12" s="72">
        <f>AVERAGE(F7:F11)</f>
        <v>21.036000000000001</v>
      </c>
      <c r="G12" s="39" t="s">
        <v>354</v>
      </c>
    </row>
    <row r="13" spans="1:12" ht="16" thickBot="1" x14ac:dyDescent="0.25">
      <c r="A13" s="48"/>
      <c r="C13" s="36" t="s">
        <v>359</v>
      </c>
      <c r="D13" s="58">
        <v>1</v>
      </c>
      <c r="E13" s="1" t="s">
        <v>353</v>
      </c>
      <c r="F13" s="76">
        <f>F12/D12</f>
        <v>9.6806258628624047</v>
      </c>
      <c r="G13" s="3" t="s">
        <v>354</v>
      </c>
    </row>
    <row r="14" spans="1:12" x14ac:dyDescent="0.2">
      <c r="A14" s="48"/>
      <c r="D14" s="8"/>
      <c r="F14" s="8"/>
    </row>
    <row r="15" spans="1:12" x14ac:dyDescent="0.2">
      <c r="A15" s="48"/>
      <c r="C15" s="64"/>
      <c r="D15" s="33" t="s">
        <v>361</v>
      </c>
      <c r="E15" s="33"/>
      <c r="F15" s="33"/>
      <c r="G15" s="34"/>
    </row>
    <row r="16" spans="1:12" x14ac:dyDescent="0.2">
      <c r="A16" s="48"/>
      <c r="C16" s="5" t="s">
        <v>362</v>
      </c>
      <c r="D16" s="32">
        <v>0.22</v>
      </c>
      <c r="E16" s="33" t="s">
        <v>353</v>
      </c>
      <c r="F16" s="72">
        <f>$F$13*D16</f>
        <v>2.1297376898297289</v>
      </c>
      <c r="G16" s="34" t="s">
        <v>354</v>
      </c>
    </row>
    <row r="17" spans="1:12" x14ac:dyDescent="0.2">
      <c r="A17" s="48"/>
      <c r="C17" s="5" t="s">
        <v>363</v>
      </c>
      <c r="D17" s="42">
        <v>0.35</v>
      </c>
      <c r="E17" t="s">
        <v>353</v>
      </c>
      <c r="F17" s="8">
        <f t="shared" ref="F17:F18" si="0">$F$13*D17</f>
        <v>3.3882190520018414</v>
      </c>
      <c r="G17" s="9" t="s">
        <v>354</v>
      </c>
    </row>
    <row r="18" spans="1:12" x14ac:dyDescent="0.2">
      <c r="A18" s="48"/>
      <c r="C18" s="36" t="s">
        <v>364</v>
      </c>
      <c r="D18" s="36">
        <v>0.14000000000000001</v>
      </c>
      <c r="E18" s="1" t="s">
        <v>353</v>
      </c>
      <c r="F18" s="58">
        <f t="shared" si="0"/>
        <v>1.3552876208007367</v>
      </c>
      <c r="G18" s="3" t="s">
        <v>354</v>
      </c>
    </row>
    <row r="19" spans="1:12" x14ac:dyDescent="0.2">
      <c r="A19" s="48"/>
      <c r="F19" s="8"/>
    </row>
    <row r="20" spans="1:12" x14ac:dyDescent="0.2">
      <c r="A20" s="48"/>
      <c r="F20" s="8"/>
    </row>
    <row r="21" spans="1:12" x14ac:dyDescent="0.2">
      <c r="A21" s="170" t="s">
        <v>684</v>
      </c>
      <c r="B21" s="113"/>
      <c r="C21" s="113"/>
      <c r="D21" s="113"/>
      <c r="E21" s="113"/>
      <c r="F21" s="180"/>
      <c r="G21" s="113"/>
      <c r="H21" s="113"/>
      <c r="I21" s="113"/>
      <c r="J21" s="113"/>
      <c r="K21" s="113"/>
      <c r="L21" s="113"/>
    </row>
    <row r="22" spans="1:12" x14ac:dyDescent="0.2">
      <c r="A22" s="48"/>
      <c r="B22" t="s">
        <v>685</v>
      </c>
      <c r="F22" s="8"/>
    </row>
    <row r="23" spans="1:12" x14ac:dyDescent="0.2">
      <c r="A23" s="48"/>
      <c r="F23" s="8"/>
    </row>
    <row r="24" spans="1:12" x14ac:dyDescent="0.2">
      <c r="A24" s="48"/>
      <c r="C24" s="181" t="s">
        <v>198</v>
      </c>
      <c r="D24" s="38"/>
      <c r="E24" s="39"/>
    </row>
    <row r="25" spans="1:12" x14ac:dyDescent="0.2">
      <c r="A25" s="48"/>
      <c r="C25" s="32" t="s">
        <v>686</v>
      </c>
      <c r="D25" s="33"/>
      <c r="E25" s="34"/>
    </row>
    <row r="26" spans="1:12" x14ac:dyDescent="0.2">
      <c r="A26" s="48"/>
      <c r="C26" s="5" t="s">
        <v>687</v>
      </c>
      <c r="D26" s="182">
        <v>4.7E-2</v>
      </c>
      <c r="E26" s="9" t="s">
        <v>688</v>
      </c>
    </row>
    <row r="27" spans="1:12" x14ac:dyDescent="0.2">
      <c r="A27" s="48"/>
      <c r="C27" s="36"/>
      <c r="D27" s="1">
        <v>1.05</v>
      </c>
      <c r="E27" s="3" t="s">
        <v>689</v>
      </c>
    </row>
    <row r="28" spans="1:12" x14ac:dyDescent="0.2">
      <c r="A28" s="48"/>
      <c r="C28" s="32" t="s">
        <v>690</v>
      </c>
      <c r="D28" s="33"/>
      <c r="E28" s="34"/>
    </row>
    <row r="29" spans="1:12" x14ac:dyDescent="0.2">
      <c r="A29" s="48"/>
      <c r="C29" s="5" t="s">
        <v>691</v>
      </c>
      <c r="D29">
        <v>95</v>
      </c>
      <c r="E29" s="9" t="s">
        <v>692</v>
      </c>
    </row>
    <row r="30" spans="1:12" x14ac:dyDescent="0.2">
      <c r="A30" s="48"/>
      <c r="C30" s="5" t="s">
        <v>693</v>
      </c>
      <c r="D30">
        <v>3</v>
      </c>
      <c r="E30" s="9" t="s">
        <v>692</v>
      </c>
    </row>
    <row r="31" spans="1:12" x14ac:dyDescent="0.2">
      <c r="A31" s="48"/>
      <c r="C31" s="5" t="s">
        <v>694</v>
      </c>
      <c r="D31">
        <v>2</v>
      </c>
      <c r="E31" s="9" t="s">
        <v>692</v>
      </c>
    </row>
    <row r="32" spans="1:12" x14ac:dyDescent="0.2">
      <c r="A32" s="48"/>
      <c r="C32" s="32" t="s">
        <v>695</v>
      </c>
      <c r="D32" s="33"/>
      <c r="E32" s="34"/>
      <c r="F32" s="146"/>
      <c r="G32" s="37"/>
      <c r="H32" s="183" t="s">
        <v>696</v>
      </c>
      <c r="I32" s="77" t="s">
        <v>692</v>
      </c>
      <c r="J32" s="60" t="s">
        <v>696</v>
      </c>
      <c r="K32" s="77" t="s">
        <v>692</v>
      </c>
    </row>
    <row r="33" spans="1:12" x14ac:dyDescent="0.2">
      <c r="A33" s="48"/>
      <c r="C33" s="5" t="s">
        <v>697</v>
      </c>
      <c r="D33" s="70" t="s">
        <v>698</v>
      </c>
      <c r="E33" s="9" t="s">
        <v>692</v>
      </c>
      <c r="F33" s="70" t="s">
        <v>699</v>
      </c>
      <c r="G33" s="184" t="s">
        <v>700</v>
      </c>
      <c r="H33" s="185">
        <v>12</v>
      </c>
      <c r="I33" s="186">
        <f>H33/$F$103*100</f>
        <v>23.52941176470588</v>
      </c>
      <c r="J33" s="185">
        <v>4.8</v>
      </c>
      <c r="K33" s="186">
        <f>J33/$H$103*100</f>
        <v>17.777777777777779</v>
      </c>
    </row>
    <row r="34" spans="1:12" x14ac:dyDescent="0.2">
      <c r="A34" s="48"/>
      <c r="C34" s="5" t="s">
        <v>701</v>
      </c>
      <c r="D34" s="51" t="s">
        <v>702</v>
      </c>
      <c r="E34" s="9" t="s">
        <v>692</v>
      </c>
      <c r="F34" s="70" t="s">
        <v>703</v>
      </c>
      <c r="G34" s="187" t="s">
        <v>704</v>
      </c>
      <c r="H34" s="42">
        <v>4.3</v>
      </c>
      <c r="I34" s="188">
        <f>H34/$F$103*100</f>
        <v>8.4313725490196063</v>
      </c>
      <c r="J34" s="42">
        <v>4.3</v>
      </c>
      <c r="K34" s="188">
        <f>J34/$H$103*100</f>
        <v>15.925925925925924</v>
      </c>
    </row>
    <row r="35" spans="1:12" x14ac:dyDescent="0.2">
      <c r="A35" s="48"/>
      <c r="C35" s="36" t="s">
        <v>705</v>
      </c>
      <c r="D35" s="189" t="s">
        <v>706</v>
      </c>
      <c r="E35" s="3" t="s">
        <v>692</v>
      </c>
      <c r="F35" s="70" t="s">
        <v>707</v>
      </c>
      <c r="G35" s="187" t="s">
        <v>708</v>
      </c>
      <c r="H35" s="42">
        <v>21</v>
      </c>
      <c r="I35" s="188">
        <f>H35/$F$103*100</f>
        <v>41.17647058823529</v>
      </c>
      <c r="J35" s="42">
        <v>10.5</v>
      </c>
      <c r="K35" s="188">
        <f>J35/$H$103*100</f>
        <v>38.888888888888893</v>
      </c>
    </row>
    <row r="36" spans="1:12" x14ac:dyDescent="0.2">
      <c r="A36" s="48"/>
      <c r="D36" s="70"/>
      <c r="F36" s="70" t="s">
        <v>709</v>
      </c>
      <c r="G36" s="187" t="s">
        <v>710</v>
      </c>
      <c r="H36" s="42">
        <v>4.5</v>
      </c>
      <c r="I36" s="188">
        <f>H36/$F$103*100</f>
        <v>8.8235294117647065</v>
      </c>
      <c r="J36" s="42">
        <v>4.5</v>
      </c>
      <c r="K36" s="188">
        <f>J36/$H$103*100</f>
        <v>16.666666666666664</v>
      </c>
    </row>
    <row r="37" spans="1:12" x14ac:dyDescent="0.2">
      <c r="A37" s="48"/>
      <c r="C37" t="s">
        <v>711</v>
      </c>
      <c r="F37" s="70" t="s">
        <v>712</v>
      </c>
      <c r="G37" s="190" t="s">
        <v>713</v>
      </c>
      <c r="H37" s="43">
        <v>2.2000000000000002</v>
      </c>
      <c r="I37" s="191">
        <f>H37/$F$103*100</f>
        <v>4.3137254901960791</v>
      </c>
      <c r="J37" s="43">
        <v>2.2000000000000002</v>
      </c>
      <c r="K37" s="191">
        <f>J37/$H$103*100</f>
        <v>8.1481481481481488</v>
      </c>
    </row>
    <row r="38" spans="1:12" x14ac:dyDescent="0.2">
      <c r="A38" s="48"/>
      <c r="C38" t="s">
        <v>714</v>
      </c>
      <c r="G38" s="192" t="s">
        <v>627</v>
      </c>
      <c r="H38" s="1">
        <v>44</v>
      </c>
      <c r="I38" s="39"/>
      <c r="J38" s="1">
        <v>26.3</v>
      </c>
      <c r="K38" s="3"/>
    </row>
    <row r="39" spans="1:12" x14ac:dyDescent="0.2">
      <c r="A39" s="48"/>
      <c r="C39" t="s">
        <v>715</v>
      </c>
    </row>
    <row r="40" spans="1:12" x14ac:dyDescent="0.2">
      <c r="A40" s="48"/>
    </row>
    <row r="41" spans="1:12" x14ac:dyDescent="0.2">
      <c r="A41" s="48"/>
      <c r="C41" t="s">
        <v>716</v>
      </c>
      <c r="D41">
        <v>100</v>
      </c>
      <c r="E41" t="s">
        <v>717</v>
      </c>
    </row>
    <row r="42" spans="1:12" ht="16" thickBot="1" x14ac:dyDescent="0.25">
      <c r="A42" s="48"/>
    </row>
    <row r="43" spans="1:12" ht="16" thickBot="1" x14ac:dyDescent="0.25">
      <c r="A43" s="48"/>
      <c r="C43" t="s">
        <v>718</v>
      </c>
      <c r="D43" s="193">
        <f>D26*D27*1.25*D41</f>
        <v>6.1687500000000011</v>
      </c>
      <c r="E43" s="194" t="s">
        <v>719</v>
      </c>
    </row>
    <row r="44" spans="1:12" x14ac:dyDescent="0.2">
      <c r="A44" s="48"/>
    </row>
    <row r="45" spans="1:12" x14ac:dyDescent="0.2">
      <c r="A45" s="15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">
      <c r="A46" s="157" t="s">
        <v>296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 x14ac:dyDescent="0.2">
      <c r="A47" s="48"/>
      <c r="B47" t="s">
        <v>346</v>
      </c>
    </row>
    <row r="48" spans="1:12" x14ac:dyDescent="0.2">
      <c r="A48" s="48"/>
      <c r="B48" t="s">
        <v>350</v>
      </c>
      <c r="D48">
        <v>0.13500000000000001</v>
      </c>
      <c r="E48" t="s">
        <v>349</v>
      </c>
      <c r="G48" t="s">
        <v>347</v>
      </c>
      <c r="H48" s="49" t="s">
        <v>348</v>
      </c>
    </row>
    <row r="49" spans="1:12" x14ac:dyDescent="0.2">
      <c r="A49" s="48"/>
    </row>
    <row r="50" spans="1:12" x14ac:dyDescent="0.2">
      <c r="A50" s="48"/>
      <c r="B50" t="s">
        <v>351</v>
      </c>
    </row>
    <row r="51" spans="1:12" x14ac:dyDescent="0.2">
      <c r="A51" s="48"/>
    </row>
    <row r="52" spans="1:12" x14ac:dyDescent="0.2">
      <c r="A52" s="15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157" t="s">
        <v>374</v>
      </c>
      <c r="B53" s="47"/>
      <c r="C53" s="47"/>
      <c r="D53" s="158"/>
      <c r="E53" s="47"/>
      <c r="F53" s="100"/>
      <c r="G53" s="100"/>
      <c r="H53" s="100"/>
      <c r="I53" s="159"/>
      <c r="J53" s="160"/>
      <c r="K53" s="47"/>
      <c r="L53" s="158"/>
    </row>
    <row r="54" spans="1:12" x14ac:dyDescent="0.2">
      <c r="A54" s="48"/>
      <c r="B54" t="s">
        <v>378</v>
      </c>
      <c r="D54" s="78"/>
      <c r="F54" s="70"/>
      <c r="G54" s="70"/>
      <c r="H54" s="70"/>
      <c r="I54" s="84"/>
      <c r="J54" s="6"/>
      <c r="L54" s="78"/>
    </row>
    <row r="55" spans="1:12" x14ac:dyDescent="0.2">
      <c r="A55" s="48"/>
      <c r="D55" s="78"/>
      <c r="F55" s="70"/>
      <c r="G55" s="70"/>
      <c r="H55" s="70"/>
      <c r="I55" s="84"/>
      <c r="J55" s="6"/>
      <c r="L55" s="78"/>
    </row>
    <row r="56" spans="1:12" x14ac:dyDescent="0.2">
      <c r="A56" s="48"/>
      <c r="C56" s="85"/>
      <c r="D56" s="33"/>
      <c r="E56" s="86"/>
      <c r="F56" s="86"/>
      <c r="G56" s="86"/>
      <c r="H56" s="33" t="s">
        <v>373</v>
      </c>
      <c r="I56" s="87"/>
      <c r="J56" s="33"/>
      <c r="K56" s="33" t="s">
        <v>372</v>
      </c>
      <c r="L56" s="34"/>
    </row>
    <row r="57" spans="1:12" x14ac:dyDescent="0.2">
      <c r="A57" s="48"/>
      <c r="C57" s="5" t="s">
        <v>368</v>
      </c>
      <c r="D57" t="s">
        <v>375</v>
      </c>
      <c r="F57" s="70" t="s">
        <v>369</v>
      </c>
      <c r="G57" s="70" t="s">
        <v>370</v>
      </c>
      <c r="H57" s="70">
        <v>47</v>
      </c>
      <c r="I57" s="6" t="s">
        <v>371</v>
      </c>
      <c r="K57" s="25">
        <v>319.42</v>
      </c>
      <c r="L57" s="9"/>
    </row>
    <row r="58" spans="1:12" x14ac:dyDescent="0.2">
      <c r="A58" s="48"/>
      <c r="C58" s="5" t="s">
        <v>368</v>
      </c>
      <c r="D58" t="s">
        <v>376</v>
      </c>
      <c r="F58" s="70" t="s">
        <v>369</v>
      </c>
      <c r="G58" s="70" t="s">
        <v>370</v>
      </c>
      <c r="H58" s="70">
        <v>86</v>
      </c>
      <c r="I58" s="6" t="s">
        <v>371</v>
      </c>
      <c r="K58" s="25">
        <v>586.1</v>
      </c>
      <c r="L58" s="9"/>
    </row>
    <row r="59" spans="1:12" x14ac:dyDescent="0.2">
      <c r="A59" s="48"/>
      <c r="C59" s="5" t="s">
        <v>368</v>
      </c>
      <c r="D59" t="s">
        <v>377</v>
      </c>
      <c r="F59" s="70" t="s">
        <v>369</v>
      </c>
      <c r="G59" s="70" t="s">
        <v>370</v>
      </c>
      <c r="H59" s="70">
        <v>122</v>
      </c>
      <c r="I59" s="6" t="s">
        <v>371</v>
      </c>
      <c r="K59" s="25">
        <v>691.3</v>
      </c>
      <c r="L59" s="9"/>
    </row>
    <row r="60" spans="1:12" x14ac:dyDescent="0.2">
      <c r="A60" s="48"/>
      <c r="C60" s="79" t="s">
        <v>214</v>
      </c>
      <c r="D60" s="1"/>
      <c r="E60" s="80"/>
      <c r="F60" s="80"/>
      <c r="G60" s="80"/>
      <c r="H60" s="81"/>
      <c r="I60" s="82"/>
      <c r="J60" s="1"/>
      <c r="K60" s="83">
        <f>AVERAGE(K57:K59)</f>
        <v>532.27333333333331</v>
      </c>
      <c r="L60" s="3"/>
    </row>
    <row r="61" spans="1:12" x14ac:dyDescent="0.2">
      <c r="A61" s="48"/>
      <c r="D61" s="78"/>
      <c r="F61" s="70"/>
      <c r="G61" s="70"/>
      <c r="H61" s="70"/>
      <c r="I61" s="84"/>
      <c r="J61" s="6"/>
      <c r="L61" s="78"/>
    </row>
    <row r="62" spans="1:12" x14ac:dyDescent="0.2">
      <c r="A62" s="15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157" t="s">
        <v>297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 x14ac:dyDescent="0.2">
      <c r="A64" s="48"/>
      <c r="B64" t="s">
        <v>412</v>
      </c>
    </row>
    <row r="65" spans="1:12" x14ac:dyDescent="0.2">
      <c r="A65" s="48"/>
    </row>
    <row r="66" spans="1:12" x14ac:dyDescent="0.2">
      <c r="A66" s="15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57" t="s">
        <v>298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1:12" x14ac:dyDescent="0.2">
      <c r="A68" s="48"/>
      <c r="B68" t="s">
        <v>290</v>
      </c>
      <c r="H68" s="57">
        <f>SUM(E71:E75,E78)</f>
        <v>27.555799999999998</v>
      </c>
    </row>
    <row r="69" spans="1:12" x14ac:dyDescent="0.2">
      <c r="A69" s="48"/>
      <c r="C69" s="8"/>
      <c r="D69" s="8"/>
      <c r="E69" s="8"/>
    </row>
    <row r="70" spans="1:12" x14ac:dyDescent="0.2">
      <c r="A70" s="48"/>
      <c r="C70" s="99" t="s">
        <v>332</v>
      </c>
      <c r="D70" s="38"/>
      <c r="E70" s="77" t="s">
        <v>333</v>
      </c>
      <c r="F70" s="38" t="s">
        <v>315</v>
      </c>
      <c r="G70" s="60" t="s">
        <v>316</v>
      </c>
      <c r="H70" s="38" t="s">
        <v>317</v>
      </c>
      <c r="I70" s="61" t="s">
        <v>318</v>
      </c>
      <c r="J70" s="60" t="s">
        <v>319</v>
      </c>
      <c r="K70" s="39" t="s">
        <v>320</v>
      </c>
    </row>
    <row r="71" spans="1:12" x14ac:dyDescent="0.2">
      <c r="A71" s="48"/>
      <c r="C71" s="5">
        <v>11</v>
      </c>
      <c r="D71" t="s">
        <v>331</v>
      </c>
      <c r="E71" s="56">
        <f>I71*C71</f>
        <v>2.2000000000000002</v>
      </c>
      <c r="F71" s="33" t="s">
        <v>321</v>
      </c>
      <c r="I71" s="8">
        <v>0.2</v>
      </c>
      <c r="J71" s="62" t="s">
        <v>92</v>
      </c>
      <c r="K71" s="9"/>
    </row>
    <row r="72" spans="1:12" x14ac:dyDescent="0.2">
      <c r="A72" s="48"/>
      <c r="C72" s="5">
        <v>1</v>
      </c>
      <c r="D72" t="s">
        <v>33</v>
      </c>
      <c r="E72" s="56">
        <f t="shared" ref="E72:E75" si="1">I72*C72</f>
        <v>1.859</v>
      </c>
      <c r="F72" t="s">
        <v>323</v>
      </c>
      <c r="G72">
        <v>0.71499999999999997</v>
      </c>
      <c r="H72">
        <v>2.6</v>
      </c>
      <c r="I72" s="8">
        <f>G72*H72</f>
        <v>1.859</v>
      </c>
      <c r="J72" s="62" t="s">
        <v>322</v>
      </c>
      <c r="K72" s="68">
        <v>46502</v>
      </c>
    </row>
    <row r="73" spans="1:12" x14ac:dyDescent="0.2">
      <c r="A73" s="48"/>
      <c r="C73" s="5">
        <v>1</v>
      </c>
      <c r="D73" t="s">
        <v>33</v>
      </c>
      <c r="E73" s="56">
        <f t="shared" si="1"/>
        <v>3.3</v>
      </c>
      <c r="F73" t="s">
        <v>324</v>
      </c>
      <c r="G73">
        <v>22</v>
      </c>
      <c r="H73">
        <v>0.15</v>
      </c>
      <c r="I73" s="8">
        <f>G73*H73</f>
        <v>3.3</v>
      </c>
      <c r="J73" s="62" t="s">
        <v>92</v>
      </c>
      <c r="K73" s="9"/>
    </row>
    <row r="74" spans="1:12" x14ac:dyDescent="0.2">
      <c r="A74" s="48"/>
      <c r="C74" s="5">
        <v>1</v>
      </c>
      <c r="D74" t="s">
        <v>33</v>
      </c>
      <c r="E74" s="56">
        <f t="shared" si="1"/>
        <v>17.16</v>
      </c>
      <c r="F74" t="s">
        <v>325</v>
      </c>
      <c r="G74">
        <v>6.6</v>
      </c>
      <c r="H74">
        <v>2.6</v>
      </c>
      <c r="I74" s="8">
        <f>G74*H74</f>
        <v>17.16</v>
      </c>
      <c r="J74" s="62" t="s">
        <v>322</v>
      </c>
      <c r="K74" s="68">
        <v>46502</v>
      </c>
    </row>
    <row r="75" spans="1:12" x14ac:dyDescent="0.2">
      <c r="A75" s="48"/>
      <c r="C75" s="5">
        <v>1</v>
      </c>
      <c r="D75" t="s">
        <v>33</v>
      </c>
      <c r="E75" s="56">
        <f t="shared" si="1"/>
        <v>2.8600000000000003</v>
      </c>
      <c r="F75" s="1" t="s">
        <v>326</v>
      </c>
      <c r="G75" s="1">
        <v>1.1000000000000001</v>
      </c>
      <c r="H75" s="1">
        <v>2.6</v>
      </c>
      <c r="I75" s="58">
        <f>G75*H75</f>
        <v>2.8600000000000003</v>
      </c>
      <c r="J75" s="67" t="s">
        <v>322</v>
      </c>
      <c r="K75" s="69">
        <v>46502</v>
      </c>
    </row>
    <row r="76" spans="1:12" x14ac:dyDescent="0.2">
      <c r="A76" s="8"/>
      <c r="B76" s="8"/>
      <c r="C76" s="55"/>
      <c r="E76" s="56"/>
      <c r="I76" s="8"/>
      <c r="K76" s="63"/>
    </row>
    <row r="77" spans="1:12" x14ac:dyDescent="0.2">
      <c r="A77" s="8"/>
      <c r="B77" s="8"/>
      <c r="C77" s="55"/>
      <c r="E77" s="56"/>
      <c r="F77" s="98" t="s">
        <v>327</v>
      </c>
      <c r="G77" s="64" t="s">
        <v>328</v>
      </c>
      <c r="H77" s="64" t="s">
        <v>329</v>
      </c>
      <c r="I77" s="38" t="s">
        <v>317</v>
      </c>
      <c r="J77" s="61" t="s">
        <v>318</v>
      </c>
      <c r="K77" s="64"/>
    </row>
    <row r="78" spans="1:12" x14ac:dyDescent="0.2">
      <c r="A78" s="48"/>
      <c r="C78" s="36">
        <v>1</v>
      </c>
      <c r="D78" s="1" t="s">
        <v>33</v>
      </c>
      <c r="E78" s="59">
        <f>J78*C78</f>
        <v>0.17680000000000001</v>
      </c>
      <c r="F78" s="39" t="s">
        <v>330</v>
      </c>
      <c r="G78" s="64">
        <v>1.7</v>
      </c>
      <c r="H78" s="64">
        <f>G78/25</f>
        <v>6.8000000000000005E-2</v>
      </c>
      <c r="I78" s="64">
        <v>2.6</v>
      </c>
      <c r="J78" s="65">
        <f>H78*I78</f>
        <v>0.17680000000000001</v>
      </c>
      <c r="K78" s="64"/>
    </row>
    <row r="79" spans="1:12" x14ac:dyDescent="0.2">
      <c r="A79" s="48"/>
    </row>
    <row r="80" spans="1:12" x14ac:dyDescent="0.2">
      <c r="A80" s="15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">
      <c r="A81" s="157" t="s">
        <v>299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spans="1:12" x14ac:dyDescent="0.2">
      <c r="A82" s="48"/>
      <c r="B82" t="s">
        <v>338</v>
      </c>
      <c r="I82" s="57">
        <f>SUM(E85:E90,E93)</f>
        <v>34.84225</v>
      </c>
    </row>
    <row r="83" spans="1:12" x14ac:dyDescent="0.2">
      <c r="A83" s="48"/>
    </row>
    <row r="84" spans="1:12" x14ac:dyDescent="0.2">
      <c r="A84" s="48"/>
      <c r="C84" s="99" t="s">
        <v>334</v>
      </c>
      <c r="D84" s="38"/>
      <c r="E84" s="77" t="s">
        <v>333</v>
      </c>
      <c r="F84" s="38" t="s">
        <v>315</v>
      </c>
      <c r="G84" s="60" t="s">
        <v>316</v>
      </c>
      <c r="H84" s="38" t="s">
        <v>317</v>
      </c>
      <c r="I84" s="61" t="s">
        <v>318</v>
      </c>
      <c r="J84" s="60" t="s">
        <v>319</v>
      </c>
      <c r="K84" s="39" t="s">
        <v>320</v>
      </c>
    </row>
    <row r="85" spans="1:12" x14ac:dyDescent="0.2">
      <c r="A85" s="48"/>
      <c r="C85" s="5">
        <v>16</v>
      </c>
      <c r="D85" t="s">
        <v>331</v>
      </c>
      <c r="E85" s="56">
        <f>I85*C85</f>
        <v>3.2</v>
      </c>
      <c r="F85" s="33" t="s">
        <v>321</v>
      </c>
      <c r="G85" s="33"/>
      <c r="H85" s="33"/>
      <c r="I85" s="72">
        <v>0.2</v>
      </c>
      <c r="J85" s="73" t="s">
        <v>92</v>
      </c>
      <c r="K85" s="34"/>
    </row>
    <row r="86" spans="1:12" x14ac:dyDescent="0.2">
      <c r="A86" s="48"/>
      <c r="C86" s="5">
        <v>1</v>
      </c>
      <c r="D86" t="s">
        <v>33</v>
      </c>
      <c r="E86" s="56">
        <f t="shared" ref="E86:E90" si="2">I86*C86</f>
        <v>1.859</v>
      </c>
      <c r="F86" t="s">
        <v>323</v>
      </c>
      <c r="G86">
        <v>0.71499999999999997</v>
      </c>
      <c r="H86">
        <v>2.6</v>
      </c>
      <c r="I86" s="8">
        <f t="shared" ref="I86:I88" si="3">G86*H86</f>
        <v>1.859</v>
      </c>
      <c r="J86" s="62" t="s">
        <v>322</v>
      </c>
      <c r="K86" s="68">
        <v>46502</v>
      </c>
    </row>
    <row r="87" spans="1:12" x14ac:dyDescent="0.2">
      <c r="A87" s="48"/>
      <c r="C87" s="5">
        <v>1</v>
      </c>
      <c r="D87" t="s">
        <v>33</v>
      </c>
      <c r="E87" s="56">
        <f t="shared" si="2"/>
        <v>3.3</v>
      </c>
      <c r="F87" t="s">
        <v>324</v>
      </c>
      <c r="G87">
        <v>22</v>
      </c>
      <c r="H87">
        <v>0.15</v>
      </c>
      <c r="I87" s="8">
        <f t="shared" si="3"/>
        <v>3.3</v>
      </c>
      <c r="J87" s="62" t="s">
        <v>92</v>
      </c>
      <c r="K87" s="9"/>
    </row>
    <row r="88" spans="1:12" x14ac:dyDescent="0.2">
      <c r="A88" s="48"/>
      <c r="C88" s="5">
        <v>1</v>
      </c>
      <c r="D88" t="s">
        <v>33</v>
      </c>
      <c r="E88" s="56">
        <f t="shared" si="2"/>
        <v>6.0264499999999996</v>
      </c>
      <c r="F88" t="s">
        <v>335</v>
      </c>
      <c r="G88">
        <v>2.15</v>
      </c>
      <c r="H88">
        <v>2.8029999999999999</v>
      </c>
      <c r="I88" s="8">
        <f t="shared" si="3"/>
        <v>6.0264499999999996</v>
      </c>
      <c r="J88" s="62" t="s">
        <v>336</v>
      </c>
      <c r="K88" s="9"/>
    </row>
    <row r="89" spans="1:12" x14ac:dyDescent="0.2">
      <c r="A89" s="48"/>
      <c r="C89" s="5">
        <v>1</v>
      </c>
      <c r="D89" t="s">
        <v>33</v>
      </c>
      <c r="E89" s="56">
        <f t="shared" si="2"/>
        <v>17.16</v>
      </c>
      <c r="F89" t="s">
        <v>325</v>
      </c>
      <c r="G89">
        <v>6.6</v>
      </c>
      <c r="H89">
        <v>2.6</v>
      </c>
      <c r="I89" s="8">
        <f>G89*H89</f>
        <v>17.16</v>
      </c>
      <c r="J89" s="62" t="s">
        <v>322</v>
      </c>
      <c r="K89" s="68">
        <v>46502</v>
      </c>
    </row>
    <row r="90" spans="1:12" x14ac:dyDescent="0.2">
      <c r="A90" s="48"/>
      <c r="C90" s="5">
        <v>1</v>
      </c>
      <c r="D90" t="s">
        <v>33</v>
      </c>
      <c r="E90" s="56">
        <f t="shared" si="2"/>
        <v>3.12</v>
      </c>
      <c r="F90" s="1" t="s">
        <v>337</v>
      </c>
      <c r="G90" s="1">
        <v>1.2</v>
      </c>
      <c r="H90" s="1">
        <v>2.6</v>
      </c>
      <c r="I90" s="58">
        <f>G90*H90</f>
        <v>3.12</v>
      </c>
      <c r="J90" s="67" t="s">
        <v>322</v>
      </c>
      <c r="K90" s="69">
        <v>46503</v>
      </c>
    </row>
    <row r="91" spans="1:12" x14ac:dyDescent="0.2">
      <c r="A91" s="48"/>
      <c r="C91" s="5"/>
      <c r="E91" s="56"/>
    </row>
    <row r="92" spans="1:12" x14ac:dyDescent="0.2">
      <c r="A92" s="48"/>
      <c r="C92" s="5"/>
      <c r="E92" s="56"/>
      <c r="F92" s="98" t="s">
        <v>327</v>
      </c>
      <c r="G92" s="64" t="s">
        <v>328</v>
      </c>
      <c r="H92" s="64" t="s">
        <v>329</v>
      </c>
      <c r="I92" s="38" t="s">
        <v>317</v>
      </c>
      <c r="J92" s="61" t="s">
        <v>318</v>
      </c>
      <c r="K92" s="64"/>
    </row>
    <row r="93" spans="1:12" x14ac:dyDescent="0.2">
      <c r="A93" s="48"/>
      <c r="C93" s="36">
        <v>1</v>
      </c>
      <c r="D93" s="1" t="s">
        <v>33</v>
      </c>
      <c r="E93" s="59">
        <f>J93*C93</f>
        <v>0.17680000000000001</v>
      </c>
      <c r="F93" s="39" t="s">
        <v>330</v>
      </c>
      <c r="G93" s="64">
        <v>1.7</v>
      </c>
      <c r="H93" s="64">
        <f>G93/25</f>
        <v>6.8000000000000005E-2</v>
      </c>
      <c r="I93" s="64">
        <v>2.6</v>
      </c>
      <c r="J93" s="65">
        <f>H93*I93</f>
        <v>0.17680000000000001</v>
      </c>
      <c r="K93" s="64"/>
    </row>
    <row r="94" spans="1:12" x14ac:dyDescent="0.2">
      <c r="A94" s="48"/>
      <c r="E94" s="8"/>
      <c r="J94" s="8"/>
    </row>
    <row r="95" spans="1:12" x14ac:dyDescent="0.2">
      <c r="A95" s="15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57" t="s">
        <v>300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</row>
    <row r="97" spans="1:11" x14ac:dyDescent="0.2">
      <c r="A97" s="48"/>
      <c r="B97" t="s">
        <v>252</v>
      </c>
    </row>
    <row r="98" spans="1:11" x14ac:dyDescent="0.2">
      <c r="A98" s="48"/>
    </row>
    <row r="99" spans="1:11" x14ac:dyDescent="0.2">
      <c r="A99" s="48"/>
      <c r="C99" s="32"/>
      <c r="D99" s="88" t="s">
        <v>379</v>
      </c>
      <c r="E99" s="88"/>
      <c r="F99" s="88"/>
      <c r="G99" s="88"/>
      <c r="H99" s="88"/>
      <c r="I99" s="88"/>
      <c r="J99" s="88"/>
      <c r="K99" s="89"/>
    </row>
    <row r="100" spans="1:11" x14ac:dyDescent="0.2">
      <c r="A100" s="48"/>
      <c r="C100" s="90" t="s">
        <v>380</v>
      </c>
      <c r="D100" s="91" t="s">
        <v>381</v>
      </c>
      <c r="E100" s="91" t="s">
        <v>382</v>
      </c>
      <c r="F100" s="91" t="s">
        <v>383</v>
      </c>
      <c r="G100" s="92" t="s">
        <v>384</v>
      </c>
      <c r="H100" s="91" t="s">
        <v>385</v>
      </c>
      <c r="I100" s="91" t="s">
        <v>386</v>
      </c>
      <c r="J100" s="91" t="s">
        <v>387</v>
      </c>
      <c r="K100" s="93" t="s">
        <v>388</v>
      </c>
    </row>
    <row r="101" spans="1:11" x14ac:dyDescent="0.2">
      <c r="A101" s="48"/>
      <c r="C101" s="5" t="s">
        <v>389</v>
      </c>
      <c r="D101" s="70" t="s">
        <v>390</v>
      </c>
      <c r="E101">
        <v>200</v>
      </c>
      <c r="F101" s="70" t="s">
        <v>391</v>
      </c>
      <c r="G101" s="70" t="s">
        <v>391</v>
      </c>
      <c r="H101" s="66" t="s">
        <v>391</v>
      </c>
      <c r="J101" s="70" t="s">
        <v>391</v>
      </c>
      <c r="K101" s="94" t="s">
        <v>391</v>
      </c>
    </row>
    <row r="102" spans="1:11" x14ac:dyDescent="0.2">
      <c r="A102" s="48"/>
      <c r="C102" s="5" t="s">
        <v>392</v>
      </c>
      <c r="D102" s="70" t="s">
        <v>393</v>
      </c>
      <c r="E102">
        <v>400</v>
      </c>
      <c r="F102">
        <f>24+H102</f>
        <v>51</v>
      </c>
      <c r="G102">
        <f>30+H102</f>
        <v>57</v>
      </c>
      <c r="H102">
        <v>27</v>
      </c>
      <c r="I102">
        <v>2.6</v>
      </c>
      <c r="J102">
        <f>F102*I102</f>
        <v>132.6</v>
      </c>
      <c r="K102" s="9">
        <f>G102*I102</f>
        <v>148.20000000000002</v>
      </c>
    </row>
    <row r="103" spans="1:11" x14ac:dyDescent="0.2">
      <c r="A103" s="48"/>
      <c r="C103" s="5"/>
      <c r="D103" s="70" t="s">
        <v>394</v>
      </c>
      <c r="E103">
        <v>400</v>
      </c>
      <c r="F103">
        <f>24+H103</f>
        <v>51</v>
      </c>
      <c r="G103">
        <f>38+H103</f>
        <v>65</v>
      </c>
      <c r="H103">
        <v>27</v>
      </c>
      <c r="I103">
        <v>2.6</v>
      </c>
      <c r="J103">
        <f t="shared" ref="J103:J111" si="4">F103*I103</f>
        <v>132.6</v>
      </c>
      <c r="K103" s="9">
        <f t="shared" ref="K103:K111" si="5">G103*I103</f>
        <v>169</v>
      </c>
    </row>
    <row r="104" spans="1:11" x14ac:dyDescent="0.2">
      <c r="A104" s="48"/>
      <c r="C104" s="5" t="s">
        <v>395</v>
      </c>
      <c r="D104" s="70" t="s">
        <v>393</v>
      </c>
      <c r="E104">
        <v>600</v>
      </c>
      <c r="F104">
        <f>31+H104</f>
        <v>64</v>
      </c>
      <c r="G104">
        <f>37+H104</f>
        <v>70</v>
      </c>
      <c r="H104">
        <v>33</v>
      </c>
      <c r="I104">
        <v>2.6</v>
      </c>
      <c r="J104">
        <f t="shared" si="4"/>
        <v>166.4</v>
      </c>
      <c r="K104" s="9">
        <f t="shared" si="5"/>
        <v>182</v>
      </c>
    </row>
    <row r="105" spans="1:11" x14ac:dyDescent="0.2">
      <c r="A105" s="48"/>
      <c r="C105" s="5"/>
      <c r="D105" s="70" t="s">
        <v>394</v>
      </c>
      <c r="E105">
        <v>600</v>
      </c>
      <c r="F105">
        <f>31+H105</f>
        <v>64</v>
      </c>
      <c r="G105">
        <f>47+H105</f>
        <v>80</v>
      </c>
      <c r="H105">
        <v>33</v>
      </c>
      <c r="I105">
        <v>2.6</v>
      </c>
      <c r="J105">
        <f t="shared" si="4"/>
        <v>166.4</v>
      </c>
      <c r="K105" s="9">
        <f t="shared" si="5"/>
        <v>208</v>
      </c>
    </row>
    <row r="106" spans="1:11" x14ac:dyDescent="0.2">
      <c r="A106" s="48"/>
      <c r="C106" s="5" t="s">
        <v>396</v>
      </c>
      <c r="D106" s="70" t="s">
        <v>393</v>
      </c>
      <c r="E106">
        <v>850</v>
      </c>
      <c r="F106">
        <f>37+H106</f>
        <v>76</v>
      </c>
      <c r="G106">
        <f>46+H106</f>
        <v>85</v>
      </c>
      <c r="H106">
        <v>39</v>
      </c>
      <c r="I106">
        <v>2.6</v>
      </c>
      <c r="J106">
        <f t="shared" si="4"/>
        <v>197.6</v>
      </c>
      <c r="K106" s="9">
        <f t="shared" si="5"/>
        <v>221</v>
      </c>
    </row>
    <row r="107" spans="1:11" x14ac:dyDescent="0.2">
      <c r="A107" s="48"/>
      <c r="C107" s="5"/>
      <c r="D107" s="70" t="s">
        <v>394</v>
      </c>
      <c r="E107">
        <v>800</v>
      </c>
      <c r="F107">
        <f>37+H107</f>
        <v>76</v>
      </c>
      <c r="G107">
        <f>58+H107</f>
        <v>97</v>
      </c>
      <c r="H107">
        <v>39</v>
      </c>
      <c r="I107">
        <v>2.6</v>
      </c>
      <c r="J107">
        <f t="shared" si="4"/>
        <v>197.6</v>
      </c>
      <c r="K107" s="9">
        <f t="shared" si="5"/>
        <v>252.20000000000002</v>
      </c>
    </row>
    <row r="108" spans="1:11" x14ac:dyDescent="0.2">
      <c r="A108" s="48"/>
      <c r="C108" s="5" t="s">
        <v>397</v>
      </c>
      <c r="D108" s="70" t="s">
        <v>393</v>
      </c>
      <c r="E108">
        <v>1050</v>
      </c>
      <c r="F108">
        <f>43+H108</f>
        <v>88</v>
      </c>
      <c r="G108">
        <f>53+H108</f>
        <v>98</v>
      </c>
      <c r="H108">
        <v>45</v>
      </c>
      <c r="I108">
        <v>2.6</v>
      </c>
      <c r="J108">
        <f t="shared" si="4"/>
        <v>228.8</v>
      </c>
      <c r="K108" s="9">
        <f t="shared" si="5"/>
        <v>254.8</v>
      </c>
    </row>
    <row r="109" spans="1:11" x14ac:dyDescent="0.2">
      <c r="A109" s="48"/>
      <c r="C109" s="5"/>
      <c r="D109" s="70" t="s">
        <v>394</v>
      </c>
      <c r="E109">
        <v>1050</v>
      </c>
      <c r="F109">
        <f>43+H109</f>
        <v>88</v>
      </c>
      <c r="G109">
        <f>67+H109</f>
        <v>112</v>
      </c>
      <c r="H109">
        <v>45</v>
      </c>
      <c r="I109">
        <v>2.6</v>
      </c>
      <c r="J109">
        <f t="shared" si="4"/>
        <v>228.8</v>
      </c>
      <c r="K109" s="9">
        <f t="shared" si="5"/>
        <v>291.2</v>
      </c>
    </row>
    <row r="110" spans="1:11" x14ac:dyDescent="0.2">
      <c r="A110" s="48"/>
      <c r="C110" s="5" t="s">
        <v>398</v>
      </c>
      <c r="D110" s="70" t="s">
        <v>393</v>
      </c>
      <c r="E110">
        <v>1350</v>
      </c>
      <c r="F110">
        <f>52+H110</f>
        <v>105</v>
      </c>
      <c r="G110">
        <f>67+H110</f>
        <v>120</v>
      </c>
      <c r="H110">
        <v>53</v>
      </c>
      <c r="I110">
        <v>2.6</v>
      </c>
      <c r="J110">
        <f t="shared" si="4"/>
        <v>273</v>
      </c>
      <c r="K110" s="9">
        <f t="shared" si="5"/>
        <v>312</v>
      </c>
    </row>
    <row r="111" spans="1:11" x14ac:dyDescent="0.2">
      <c r="A111" s="48"/>
      <c r="C111" s="5"/>
      <c r="D111" s="70" t="s">
        <v>394</v>
      </c>
      <c r="E111">
        <v>1350</v>
      </c>
      <c r="F111">
        <f>52+H111</f>
        <v>105</v>
      </c>
      <c r="G111">
        <f>83+H111</f>
        <v>136</v>
      </c>
      <c r="H111">
        <v>53</v>
      </c>
      <c r="I111">
        <v>2.6</v>
      </c>
      <c r="J111">
        <f t="shared" si="4"/>
        <v>273</v>
      </c>
      <c r="K111" s="9">
        <f t="shared" si="5"/>
        <v>353.6</v>
      </c>
    </row>
    <row r="112" spans="1:11" x14ac:dyDescent="0.2">
      <c r="A112" s="48"/>
      <c r="C112" s="5"/>
      <c r="D112" s="70" t="s">
        <v>399</v>
      </c>
      <c r="E112">
        <v>350</v>
      </c>
      <c r="F112">
        <v>36</v>
      </c>
      <c r="G112" t="s">
        <v>400</v>
      </c>
      <c r="I112">
        <v>2.6</v>
      </c>
      <c r="J112">
        <f>F112*I112</f>
        <v>93.600000000000009</v>
      </c>
      <c r="K112" s="9"/>
    </row>
    <row r="113" spans="1:11" x14ac:dyDescent="0.2">
      <c r="A113" s="48"/>
      <c r="C113" s="5"/>
      <c r="D113" s="70"/>
      <c r="K113" s="9"/>
    </row>
    <row r="114" spans="1:11" x14ac:dyDescent="0.2">
      <c r="A114" s="48"/>
      <c r="C114" s="5"/>
      <c r="D114" s="92" t="s">
        <v>401</v>
      </c>
      <c r="E114" s="92"/>
      <c r="F114" s="92"/>
      <c r="G114" s="92"/>
      <c r="H114" s="92"/>
      <c r="I114" s="92"/>
      <c r="J114" s="95" t="s">
        <v>402</v>
      </c>
      <c r="K114" s="96"/>
    </row>
    <row r="115" spans="1:11" x14ac:dyDescent="0.2">
      <c r="A115" s="48"/>
      <c r="C115" s="90" t="s">
        <v>380</v>
      </c>
      <c r="D115" s="91" t="s">
        <v>381</v>
      </c>
      <c r="E115" s="91" t="s">
        <v>382</v>
      </c>
      <c r="F115" s="91" t="s">
        <v>383</v>
      </c>
      <c r="G115" s="91" t="s">
        <v>403</v>
      </c>
      <c r="H115" s="91" t="s">
        <v>404</v>
      </c>
      <c r="I115" s="91" t="s">
        <v>405</v>
      </c>
      <c r="J115" s="91" t="s">
        <v>387</v>
      </c>
      <c r="K115" s="93" t="s">
        <v>406</v>
      </c>
    </row>
    <row r="116" spans="1:11" x14ac:dyDescent="0.2">
      <c r="A116" s="48"/>
      <c r="C116" s="5" t="s">
        <v>392</v>
      </c>
      <c r="D116" s="70" t="s">
        <v>393</v>
      </c>
      <c r="E116">
        <v>400</v>
      </c>
      <c r="F116">
        <v>30</v>
      </c>
      <c r="G116">
        <v>28</v>
      </c>
      <c r="H116">
        <v>9.1080000000000005</v>
      </c>
      <c r="I116">
        <v>2.6</v>
      </c>
      <c r="J116">
        <f t="shared" ref="J116:J125" si="6">(F116+G116)*2.6</f>
        <v>150.80000000000001</v>
      </c>
      <c r="K116" s="56">
        <f t="shared" ref="K116:K125" si="7">F116*H116+G116*I116</f>
        <v>346.04</v>
      </c>
    </row>
    <row r="117" spans="1:11" x14ac:dyDescent="0.2">
      <c r="A117" s="48"/>
      <c r="C117" s="5"/>
      <c r="D117" s="70" t="s">
        <v>394</v>
      </c>
      <c r="E117">
        <v>400</v>
      </c>
      <c r="F117">
        <v>38</v>
      </c>
      <c r="G117">
        <v>28</v>
      </c>
      <c r="H117">
        <v>9.1080000000000005</v>
      </c>
      <c r="I117">
        <v>2.6</v>
      </c>
      <c r="J117">
        <f t="shared" si="6"/>
        <v>171.6</v>
      </c>
      <c r="K117" s="56">
        <f t="shared" si="7"/>
        <v>418.90400000000005</v>
      </c>
    </row>
    <row r="118" spans="1:11" x14ac:dyDescent="0.2">
      <c r="A118" s="48"/>
      <c r="C118" s="5" t="s">
        <v>395</v>
      </c>
      <c r="D118" s="70" t="s">
        <v>393</v>
      </c>
      <c r="E118">
        <v>600</v>
      </c>
      <c r="F118">
        <v>37</v>
      </c>
      <c r="G118">
        <v>33</v>
      </c>
      <c r="H118">
        <v>9.1080000000000005</v>
      </c>
      <c r="I118">
        <v>2.6</v>
      </c>
      <c r="J118">
        <f t="shared" si="6"/>
        <v>182</v>
      </c>
      <c r="K118" s="56">
        <f t="shared" si="7"/>
        <v>422.79600000000005</v>
      </c>
    </row>
    <row r="119" spans="1:11" x14ac:dyDescent="0.2">
      <c r="A119" s="48"/>
      <c r="C119" s="5"/>
      <c r="D119" s="70" t="s">
        <v>394</v>
      </c>
      <c r="E119">
        <v>600</v>
      </c>
      <c r="F119">
        <v>47</v>
      </c>
      <c r="G119">
        <v>33</v>
      </c>
      <c r="H119">
        <v>9.1080000000000005</v>
      </c>
      <c r="I119">
        <v>2.6</v>
      </c>
      <c r="J119">
        <f t="shared" si="6"/>
        <v>208</v>
      </c>
      <c r="K119" s="56">
        <f t="shared" si="7"/>
        <v>513.87599999999998</v>
      </c>
    </row>
    <row r="120" spans="1:11" x14ac:dyDescent="0.2">
      <c r="A120" s="48"/>
      <c r="C120" s="5" t="s">
        <v>396</v>
      </c>
      <c r="D120" s="70" t="s">
        <v>393</v>
      </c>
      <c r="E120">
        <v>850</v>
      </c>
      <c r="F120">
        <v>46</v>
      </c>
      <c r="G120">
        <v>40</v>
      </c>
      <c r="H120">
        <v>9.1080000000000005</v>
      </c>
      <c r="I120">
        <v>2.6</v>
      </c>
      <c r="J120">
        <f t="shared" si="6"/>
        <v>223.6</v>
      </c>
      <c r="K120" s="56">
        <f t="shared" si="7"/>
        <v>522.96800000000007</v>
      </c>
    </row>
    <row r="121" spans="1:11" x14ac:dyDescent="0.2">
      <c r="A121" s="48"/>
      <c r="C121" s="5"/>
      <c r="D121" s="70" t="s">
        <v>394</v>
      </c>
      <c r="E121">
        <v>800</v>
      </c>
      <c r="F121">
        <v>58</v>
      </c>
      <c r="G121">
        <v>40</v>
      </c>
      <c r="H121">
        <v>9.1080000000000005</v>
      </c>
      <c r="I121">
        <v>2.6</v>
      </c>
      <c r="J121">
        <f t="shared" si="6"/>
        <v>254.8</v>
      </c>
      <c r="K121" s="56">
        <f t="shared" si="7"/>
        <v>632.26400000000001</v>
      </c>
    </row>
    <row r="122" spans="1:11" x14ac:dyDescent="0.2">
      <c r="A122" s="48"/>
      <c r="C122" s="5" t="s">
        <v>397</v>
      </c>
      <c r="D122" s="70" t="s">
        <v>393</v>
      </c>
      <c r="E122">
        <v>1050</v>
      </c>
      <c r="F122">
        <v>53</v>
      </c>
      <c r="G122">
        <v>45</v>
      </c>
      <c r="H122">
        <v>9.1080000000000005</v>
      </c>
      <c r="I122">
        <v>2.6</v>
      </c>
      <c r="J122">
        <f t="shared" si="6"/>
        <v>254.8</v>
      </c>
      <c r="K122" s="56">
        <f t="shared" si="7"/>
        <v>599.72400000000005</v>
      </c>
    </row>
    <row r="123" spans="1:11" x14ac:dyDescent="0.2">
      <c r="A123" s="48"/>
      <c r="C123" s="5"/>
      <c r="D123" s="70" t="s">
        <v>394</v>
      </c>
      <c r="E123">
        <v>1050</v>
      </c>
      <c r="F123">
        <v>67</v>
      </c>
      <c r="G123">
        <v>45</v>
      </c>
      <c r="H123">
        <v>9.1080000000000005</v>
      </c>
      <c r="I123">
        <v>2.6</v>
      </c>
      <c r="J123">
        <f t="shared" si="6"/>
        <v>291.2</v>
      </c>
      <c r="K123" s="56">
        <f t="shared" si="7"/>
        <v>727.23599999999999</v>
      </c>
    </row>
    <row r="124" spans="1:11" x14ac:dyDescent="0.2">
      <c r="A124" s="48"/>
      <c r="C124" s="5" t="s">
        <v>398</v>
      </c>
      <c r="D124" s="70" t="s">
        <v>393</v>
      </c>
      <c r="E124">
        <v>1350</v>
      </c>
      <c r="F124">
        <v>67</v>
      </c>
      <c r="G124">
        <v>53</v>
      </c>
      <c r="H124">
        <v>9.1080000000000005</v>
      </c>
      <c r="I124">
        <v>2.6</v>
      </c>
      <c r="J124">
        <f t="shared" si="6"/>
        <v>312</v>
      </c>
      <c r="K124" s="56">
        <f t="shared" si="7"/>
        <v>748.03600000000006</v>
      </c>
    </row>
    <row r="125" spans="1:11" x14ac:dyDescent="0.2">
      <c r="A125" s="48"/>
      <c r="C125" s="5"/>
      <c r="D125" s="70" t="s">
        <v>394</v>
      </c>
      <c r="E125">
        <v>1350</v>
      </c>
      <c r="F125">
        <v>83</v>
      </c>
      <c r="G125">
        <v>53</v>
      </c>
      <c r="H125">
        <v>9.1080000000000005</v>
      </c>
      <c r="I125">
        <v>2.6</v>
      </c>
      <c r="J125">
        <f t="shared" si="6"/>
        <v>353.6</v>
      </c>
      <c r="K125" s="56">
        <f t="shared" si="7"/>
        <v>893.76400000000012</v>
      </c>
    </row>
    <row r="126" spans="1:11" x14ac:dyDescent="0.2">
      <c r="A126" s="48"/>
      <c r="C126" s="5"/>
      <c r="D126" s="70"/>
      <c r="K126" s="56"/>
    </row>
    <row r="127" spans="1:11" x14ac:dyDescent="0.2">
      <c r="A127" s="48"/>
      <c r="C127" s="5"/>
      <c r="D127" s="70"/>
      <c r="K127" s="9"/>
    </row>
    <row r="128" spans="1:11" x14ac:dyDescent="0.2">
      <c r="A128" s="48"/>
      <c r="C128" s="5"/>
      <c r="D128" s="92" t="s">
        <v>407</v>
      </c>
      <c r="E128" s="92"/>
      <c r="F128" s="92"/>
      <c r="G128" s="92"/>
      <c r="H128" s="92"/>
      <c r="I128" s="92"/>
      <c r="J128" s="92"/>
      <c r="K128" s="97"/>
    </row>
    <row r="129" spans="1:12" x14ac:dyDescent="0.2">
      <c r="A129" s="48"/>
      <c r="C129" s="90" t="s">
        <v>380</v>
      </c>
      <c r="D129" s="91" t="s">
        <v>381</v>
      </c>
      <c r="E129" s="91" t="s">
        <v>382</v>
      </c>
      <c r="F129" s="91" t="s">
        <v>383</v>
      </c>
      <c r="G129" s="91" t="s">
        <v>403</v>
      </c>
      <c r="H129" s="92"/>
      <c r="I129" s="91" t="s">
        <v>408</v>
      </c>
      <c r="J129" s="92"/>
      <c r="K129" s="93" t="s">
        <v>406</v>
      </c>
    </row>
    <row r="130" spans="1:12" x14ac:dyDescent="0.2">
      <c r="A130" s="48"/>
      <c r="C130" s="5" t="s">
        <v>392</v>
      </c>
      <c r="D130" s="70" t="s">
        <v>409</v>
      </c>
      <c r="E130">
        <v>465</v>
      </c>
      <c r="F130">
        <v>17.100000000000001</v>
      </c>
      <c r="G130">
        <v>13.3</v>
      </c>
      <c r="I130">
        <f t="shared" ref="I130:I140" si="8">3.102*0.75+2.1*0.25</f>
        <v>2.8514999999999997</v>
      </c>
      <c r="K130" s="56">
        <f t="shared" ref="K130:K139" si="9">(F130+G130)*I130</f>
        <v>86.685599999999994</v>
      </c>
    </row>
    <row r="131" spans="1:12" x14ac:dyDescent="0.2">
      <c r="A131" s="48"/>
      <c r="C131" s="5"/>
      <c r="D131" s="70" t="s">
        <v>410</v>
      </c>
      <c r="E131">
        <v>465</v>
      </c>
      <c r="F131">
        <v>20.5</v>
      </c>
      <c r="G131">
        <v>13.3</v>
      </c>
      <c r="I131">
        <f t="shared" si="8"/>
        <v>2.8514999999999997</v>
      </c>
      <c r="K131" s="56">
        <f t="shared" si="9"/>
        <v>96.380699999999976</v>
      </c>
    </row>
    <row r="132" spans="1:12" x14ac:dyDescent="0.2">
      <c r="A132" s="48"/>
      <c r="C132" s="5" t="s">
        <v>395</v>
      </c>
      <c r="D132" s="70" t="s">
        <v>409</v>
      </c>
      <c r="E132">
        <v>590</v>
      </c>
      <c r="F132">
        <v>19.600000000000001</v>
      </c>
      <c r="G132">
        <v>14.9</v>
      </c>
      <c r="I132">
        <f t="shared" si="8"/>
        <v>2.8514999999999997</v>
      </c>
      <c r="K132" s="56">
        <f t="shared" si="9"/>
        <v>98.376749999999987</v>
      </c>
    </row>
    <row r="133" spans="1:12" x14ac:dyDescent="0.2">
      <c r="A133" s="48"/>
      <c r="C133" s="5"/>
      <c r="D133" s="70" t="s">
        <v>410</v>
      </c>
      <c r="E133">
        <v>590</v>
      </c>
      <c r="F133">
        <v>26.2</v>
      </c>
      <c r="G133">
        <v>14.9</v>
      </c>
      <c r="I133">
        <f t="shared" si="8"/>
        <v>2.8514999999999997</v>
      </c>
      <c r="K133" s="56">
        <f t="shared" si="9"/>
        <v>117.19664999999999</v>
      </c>
    </row>
    <row r="134" spans="1:12" x14ac:dyDescent="0.2">
      <c r="A134" s="48"/>
      <c r="C134" s="5" t="s">
        <v>396</v>
      </c>
      <c r="D134" s="70" t="s">
        <v>409</v>
      </c>
      <c r="E134">
        <v>785</v>
      </c>
      <c r="F134">
        <v>23.6</v>
      </c>
      <c r="G134">
        <v>16.8</v>
      </c>
      <c r="I134">
        <f t="shared" si="8"/>
        <v>2.8514999999999997</v>
      </c>
      <c r="K134" s="56">
        <f t="shared" si="9"/>
        <v>115.20060000000001</v>
      </c>
    </row>
    <row r="135" spans="1:12" x14ac:dyDescent="0.2">
      <c r="A135" s="48"/>
      <c r="C135" s="5"/>
      <c r="D135" s="70" t="s">
        <v>410</v>
      </c>
      <c r="E135">
        <v>785</v>
      </c>
      <c r="F135">
        <v>30.7</v>
      </c>
      <c r="G135">
        <v>16.8</v>
      </c>
      <c r="I135">
        <f t="shared" si="8"/>
        <v>2.8514999999999997</v>
      </c>
      <c r="K135" s="56">
        <f t="shared" si="9"/>
        <v>135.44624999999999</v>
      </c>
    </row>
    <row r="136" spans="1:12" x14ac:dyDescent="0.2">
      <c r="A136" s="48"/>
      <c r="C136" s="5" t="s">
        <v>397</v>
      </c>
      <c r="D136" s="70" t="s">
        <v>409</v>
      </c>
      <c r="E136">
        <v>1115</v>
      </c>
      <c r="F136">
        <v>35.1</v>
      </c>
      <c r="G136">
        <v>20.6</v>
      </c>
      <c r="I136">
        <f t="shared" si="8"/>
        <v>2.8514999999999997</v>
      </c>
      <c r="K136" s="56">
        <f t="shared" si="9"/>
        <v>158.82854999999998</v>
      </c>
    </row>
    <row r="137" spans="1:12" x14ac:dyDescent="0.2">
      <c r="A137" s="48"/>
      <c r="C137" s="5"/>
      <c r="D137" s="70" t="s">
        <v>410</v>
      </c>
      <c r="E137">
        <v>1115</v>
      </c>
      <c r="F137">
        <v>46.4</v>
      </c>
      <c r="G137">
        <v>20.6</v>
      </c>
      <c r="I137">
        <f t="shared" si="8"/>
        <v>2.8514999999999997</v>
      </c>
      <c r="K137" s="56">
        <f t="shared" si="9"/>
        <v>191.05049999999997</v>
      </c>
    </row>
    <row r="138" spans="1:12" x14ac:dyDescent="0.2">
      <c r="A138" s="48"/>
      <c r="C138" s="5" t="s">
        <v>398</v>
      </c>
      <c r="D138" s="70" t="s">
        <v>409</v>
      </c>
      <c r="E138">
        <v>1445</v>
      </c>
      <c r="F138">
        <v>40.9</v>
      </c>
      <c r="G138">
        <v>25.4</v>
      </c>
      <c r="I138">
        <f t="shared" si="8"/>
        <v>2.8514999999999997</v>
      </c>
      <c r="K138" s="56">
        <f t="shared" si="9"/>
        <v>189.05444999999997</v>
      </c>
    </row>
    <row r="139" spans="1:12" x14ac:dyDescent="0.2">
      <c r="A139" s="48"/>
      <c r="C139" s="5"/>
      <c r="D139" s="70" t="s">
        <v>410</v>
      </c>
      <c r="E139">
        <v>1445</v>
      </c>
      <c r="F139">
        <v>50</v>
      </c>
      <c r="G139">
        <v>25.4</v>
      </c>
      <c r="I139">
        <f t="shared" si="8"/>
        <v>2.8514999999999997</v>
      </c>
      <c r="K139" s="56">
        <f t="shared" si="9"/>
        <v>215.00309999999999</v>
      </c>
    </row>
    <row r="140" spans="1:12" x14ac:dyDescent="0.2">
      <c r="A140" s="48"/>
      <c r="C140" s="36" t="s">
        <v>61</v>
      </c>
      <c r="D140" s="80"/>
      <c r="E140" s="1"/>
      <c r="F140" s="1">
        <v>20</v>
      </c>
      <c r="G140" s="1" t="s">
        <v>411</v>
      </c>
      <c r="H140" s="1"/>
      <c r="I140" s="1">
        <f t="shared" si="8"/>
        <v>2.8514999999999997</v>
      </c>
      <c r="J140" s="1"/>
      <c r="K140" s="59">
        <f>F140*I140</f>
        <v>57.029999999999994</v>
      </c>
    </row>
    <row r="141" spans="1:12" x14ac:dyDescent="0.2">
      <c r="A141" s="15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57" t="s">
        <v>640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</row>
    <row r="143" spans="1:12" x14ac:dyDescent="0.2">
      <c r="A143" s="48"/>
      <c r="B143" t="s">
        <v>432</v>
      </c>
    </row>
    <row r="144" spans="1:12" x14ac:dyDescent="0.2">
      <c r="A144" s="48"/>
      <c r="B144" t="s">
        <v>641</v>
      </c>
    </row>
    <row r="145" spans="1:12" x14ac:dyDescent="0.2">
      <c r="A145" s="48"/>
    </row>
    <row r="146" spans="1:12" x14ac:dyDescent="0.2">
      <c r="A146" s="48"/>
      <c r="C146" s="37" t="s">
        <v>457</v>
      </c>
      <c r="D146" s="39"/>
      <c r="E146" s="33"/>
      <c r="F146" s="86" t="s">
        <v>316</v>
      </c>
      <c r="G146" s="33" t="s">
        <v>317</v>
      </c>
      <c r="H146" s="33" t="s">
        <v>623</v>
      </c>
      <c r="I146" s="166" t="s">
        <v>319</v>
      </c>
    </row>
    <row r="147" spans="1:12" x14ac:dyDescent="0.2">
      <c r="A147" s="48"/>
      <c r="C147" s="32">
        <v>3</v>
      </c>
      <c r="D147" s="33" t="s">
        <v>33</v>
      </c>
      <c r="E147" s="32" t="s">
        <v>645</v>
      </c>
      <c r="F147" s="33">
        <v>1.224</v>
      </c>
      <c r="G147" s="33">
        <v>2.6</v>
      </c>
      <c r="H147" s="72">
        <f t="shared" ref="H147" si="10">F147*G147</f>
        <v>3.1823999999999999</v>
      </c>
      <c r="I147" s="167" t="s">
        <v>322</v>
      </c>
    </row>
    <row r="148" spans="1:12" x14ac:dyDescent="0.2">
      <c r="A148" s="48"/>
      <c r="C148" s="5">
        <v>3</v>
      </c>
      <c r="D148" t="s">
        <v>33</v>
      </c>
      <c r="E148" s="5" t="s">
        <v>646</v>
      </c>
      <c r="H148" s="8">
        <v>10.659000000000001</v>
      </c>
      <c r="I148" s="155" t="s">
        <v>647</v>
      </c>
      <c r="K148">
        <v>130.2362</v>
      </c>
    </row>
    <row r="149" spans="1:12" x14ac:dyDescent="0.2">
      <c r="A149" s="48"/>
      <c r="C149" s="36">
        <v>1</v>
      </c>
      <c r="D149" s="1" t="s">
        <v>33</v>
      </c>
      <c r="E149" s="36" t="s">
        <v>648</v>
      </c>
      <c r="F149" s="1">
        <v>34.119999999999997</v>
      </c>
      <c r="G149" s="1">
        <v>2.6</v>
      </c>
      <c r="H149" s="58">
        <f t="shared" ref="H149" si="11">F149*G149</f>
        <v>88.712000000000003</v>
      </c>
      <c r="I149" s="71" t="s">
        <v>322</v>
      </c>
    </row>
    <row r="150" spans="1:12" x14ac:dyDescent="0.2">
      <c r="A150" s="48"/>
      <c r="D150" s="4" t="s">
        <v>627</v>
      </c>
      <c r="F150" s="70"/>
      <c r="H150" s="57">
        <f>C147*H147+C148*H148+C149*H149</f>
        <v>130.2362</v>
      </c>
      <c r="I150" s="70"/>
    </row>
    <row r="151" spans="1:12" x14ac:dyDescent="0.2">
      <c r="A151" s="48"/>
    </row>
    <row r="152" spans="1:12" x14ac:dyDescent="0.2">
      <c r="A152" s="15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57" t="s">
        <v>618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</row>
    <row r="154" spans="1:12" x14ac:dyDescent="0.2">
      <c r="A154" s="48"/>
      <c r="B154" t="s">
        <v>432</v>
      </c>
    </row>
    <row r="155" spans="1:12" x14ac:dyDescent="0.2">
      <c r="A155" s="48"/>
      <c r="B155" t="s">
        <v>635</v>
      </c>
    </row>
    <row r="156" spans="1:12" x14ac:dyDescent="0.2">
      <c r="A156" s="48"/>
    </row>
    <row r="157" spans="1:12" x14ac:dyDescent="0.2">
      <c r="A157" s="48"/>
      <c r="C157" s="37" t="s">
        <v>457</v>
      </c>
      <c r="D157" s="39"/>
      <c r="E157" s="38"/>
      <c r="F157" s="60" t="s">
        <v>316</v>
      </c>
      <c r="G157" s="38" t="s">
        <v>317</v>
      </c>
      <c r="H157" s="38" t="s">
        <v>623</v>
      </c>
      <c r="I157" s="77" t="s">
        <v>319</v>
      </c>
    </row>
    <row r="158" spans="1:12" x14ac:dyDescent="0.2">
      <c r="A158" s="48"/>
      <c r="C158" s="5">
        <v>1</v>
      </c>
      <c r="D158" s="9" t="s">
        <v>33</v>
      </c>
      <c r="E158" t="s">
        <v>625</v>
      </c>
      <c r="F158">
        <v>0.248</v>
      </c>
      <c r="G158">
        <v>9.1080000000000005</v>
      </c>
      <c r="H158" s="8">
        <f>F158*G158</f>
        <v>2.2587839999999999</v>
      </c>
      <c r="I158" s="155" t="s">
        <v>366</v>
      </c>
    </row>
    <row r="159" spans="1:12" x14ac:dyDescent="0.2">
      <c r="A159" s="48"/>
      <c r="C159" s="36">
        <v>1</v>
      </c>
      <c r="D159" s="3" t="s">
        <v>33</v>
      </c>
      <c r="E159" s="1" t="s">
        <v>626</v>
      </c>
      <c r="F159" s="1">
        <v>1.3</v>
      </c>
      <c r="G159" s="1">
        <v>2.6</v>
      </c>
      <c r="H159" s="58">
        <f>F159*G159</f>
        <v>3.3800000000000003</v>
      </c>
      <c r="I159" s="15" t="s">
        <v>322</v>
      </c>
    </row>
    <row r="160" spans="1:12" x14ac:dyDescent="0.2">
      <c r="A160" s="48"/>
      <c r="D160" s="64" t="s">
        <v>627</v>
      </c>
      <c r="H160" s="57">
        <f>C158*H158+C159*H159</f>
        <v>5.6387840000000002</v>
      </c>
    </row>
    <row r="161" spans="1:12" x14ac:dyDescent="0.2">
      <c r="A161" s="48"/>
      <c r="H161" s="168"/>
    </row>
    <row r="162" spans="1:12" x14ac:dyDescent="0.2">
      <c r="A162" s="15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157" t="s">
        <v>621</v>
      </c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</row>
    <row r="164" spans="1:12" x14ac:dyDescent="0.2">
      <c r="A164" s="48"/>
      <c r="B164" t="s">
        <v>432</v>
      </c>
    </row>
    <row r="165" spans="1:12" x14ac:dyDescent="0.2">
      <c r="A165" s="48"/>
      <c r="B165" t="s">
        <v>649</v>
      </c>
    </row>
    <row r="166" spans="1:12" x14ac:dyDescent="0.2">
      <c r="A166" s="48"/>
    </row>
    <row r="167" spans="1:12" x14ac:dyDescent="0.2">
      <c r="A167" s="48"/>
      <c r="C167" s="37" t="s">
        <v>457</v>
      </c>
      <c r="D167" s="39"/>
      <c r="E167" s="33"/>
      <c r="F167" s="86" t="s">
        <v>316</v>
      </c>
      <c r="G167" s="33" t="s">
        <v>317</v>
      </c>
      <c r="H167" s="33" t="s">
        <v>623</v>
      </c>
      <c r="I167" s="166" t="s">
        <v>319</v>
      </c>
    </row>
    <row r="168" spans="1:12" x14ac:dyDescent="0.2">
      <c r="A168" s="48"/>
      <c r="C168" s="32">
        <v>3</v>
      </c>
      <c r="D168" s="33" t="s">
        <v>33</v>
      </c>
      <c r="E168" s="32" t="s">
        <v>645</v>
      </c>
      <c r="F168" s="33">
        <v>1.224</v>
      </c>
      <c r="G168" s="33">
        <v>9.1080000000000005</v>
      </c>
      <c r="H168" s="72">
        <f t="shared" ref="H168" si="12">F168*G168</f>
        <v>11.148192</v>
      </c>
      <c r="I168" s="169" t="s">
        <v>366</v>
      </c>
      <c r="K168">
        <v>142.381576</v>
      </c>
    </row>
    <row r="169" spans="1:12" x14ac:dyDescent="0.2">
      <c r="A169" s="48"/>
      <c r="C169" s="5">
        <v>3</v>
      </c>
      <c r="D169" t="s">
        <v>33</v>
      </c>
      <c r="E169" s="5" t="s">
        <v>646</v>
      </c>
      <c r="H169" s="8">
        <v>10.659000000000001</v>
      </c>
      <c r="I169" s="155" t="s">
        <v>647</v>
      </c>
    </row>
    <row r="170" spans="1:12" x14ac:dyDescent="0.2">
      <c r="A170" s="48"/>
      <c r="C170" s="36">
        <v>1</v>
      </c>
      <c r="D170" s="1" t="s">
        <v>33</v>
      </c>
      <c r="E170" s="36" t="s">
        <v>651</v>
      </c>
      <c r="F170" s="1">
        <v>29.6</v>
      </c>
      <c r="G170" s="1">
        <v>2.6</v>
      </c>
      <c r="H170" s="1">
        <f t="shared" ref="H170" si="13">F170*G170</f>
        <v>76.960000000000008</v>
      </c>
      <c r="I170" s="15" t="s">
        <v>322</v>
      </c>
    </row>
    <row r="171" spans="1:12" x14ac:dyDescent="0.2">
      <c r="A171" s="48"/>
      <c r="D171" s="64" t="s">
        <v>627</v>
      </c>
      <c r="H171" s="57">
        <f>C168*H168+C169*H169+C170*H170</f>
        <v>142.381576</v>
      </c>
    </row>
    <row r="172" spans="1:12" x14ac:dyDescent="0.2">
      <c r="A172" s="15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57" t="s">
        <v>638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</row>
    <row r="174" spans="1:12" x14ac:dyDescent="0.2">
      <c r="A174" s="48"/>
      <c r="B174" t="s">
        <v>432</v>
      </c>
    </row>
    <row r="175" spans="1:12" x14ac:dyDescent="0.2">
      <c r="A175" s="48"/>
      <c r="B175" t="s">
        <v>642</v>
      </c>
    </row>
    <row r="176" spans="1:12" x14ac:dyDescent="0.2">
      <c r="A176" s="48"/>
    </row>
    <row r="177" spans="1:12" x14ac:dyDescent="0.2">
      <c r="A177" s="48"/>
      <c r="C177" s="37" t="s">
        <v>457</v>
      </c>
      <c r="D177" s="39"/>
      <c r="E177" s="33"/>
      <c r="F177" s="86" t="s">
        <v>316</v>
      </c>
      <c r="G177" s="33" t="s">
        <v>317</v>
      </c>
      <c r="H177" s="33" t="s">
        <v>623</v>
      </c>
      <c r="I177" s="166" t="s">
        <v>319</v>
      </c>
    </row>
    <row r="178" spans="1:12" x14ac:dyDescent="0.2">
      <c r="A178" s="48"/>
      <c r="C178" s="32">
        <v>3</v>
      </c>
      <c r="D178" s="33" t="s">
        <v>33</v>
      </c>
      <c r="E178" s="32" t="s">
        <v>608</v>
      </c>
      <c r="F178" s="33">
        <v>3.8</v>
      </c>
      <c r="G178" s="33">
        <v>2.8029999999999999</v>
      </c>
      <c r="H178" s="72">
        <f t="shared" ref="H178:H179" si="14">F178*G178</f>
        <v>10.651399999999999</v>
      </c>
      <c r="I178" s="167" t="s">
        <v>336</v>
      </c>
    </row>
    <row r="179" spans="1:12" x14ac:dyDescent="0.2">
      <c r="A179" s="48"/>
      <c r="C179" s="36">
        <v>1</v>
      </c>
      <c r="D179" s="1" t="s">
        <v>33</v>
      </c>
      <c r="E179" s="36" t="s">
        <v>644</v>
      </c>
      <c r="F179" s="1">
        <v>21.5</v>
      </c>
      <c r="G179" s="1">
        <v>2.6</v>
      </c>
      <c r="H179" s="1">
        <f t="shared" si="14"/>
        <v>55.9</v>
      </c>
      <c r="I179" s="15" t="s">
        <v>322</v>
      </c>
    </row>
    <row r="180" spans="1:12" x14ac:dyDescent="0.2">
      <c r="A180" s="48"/>
      <c r="D180" s="64" t="s">
        <v>627</v>
      </c>
      <c r="H180" s="57">
        <f>C178*H178+C179*H179</f>
        <v>87.854199999999992</v>
      </c>
    </row>
    <row r="181" spans="1:12" x14ac:dyDescent="0.2">
      <c r="A181" s="48"/>
    </row>
    <row r="182" spans="1:12" x14ac:dyDescent="0.2">
      <c r="A182" s="15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57" t="s">
        <v>619</v>
      </c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</row>
    <row r="184" spans="1:12" x14ac:dyDescent="0.2">
      <c r="A184" s="48"/>
      <c r="B184" t="s">
        <v>432</v>
      </c>
    </row>
    <row r="185" spans="1:12" x14ac:dyDescent="0.2">
      <c r="A185" s="48"/>
      <c r="B185" t="s">
        <v>628</v>
      </c>
    </row>
    <row r="186" spans="1:12" x14ac:dyDescent="0.2">
      <c r="A186" s="48"/>
    </row>
    <row r="187" spans="1:12" x14ac:dyDescent="0.2">
      <c r="A187" s="48"/>
      <c r="C187" s="37" t="s">
        <v>457</v>
      </c>
      <c r="D187" s="39"/>
      <c r="E187" s="37"/>
      <c r="F187" s="60" t="s">
        <v>316</v>
      </c>
      <c r="G187" s="38" t="s">
        <v>317</v>
      </c>
      <c r="H187" s="38" t="s">
        <v>623</v>
      </c>
      <c r="I187" s="77" t="s">
        <v>319</v>
      </c>
    </row>
    <row r="188" spans="1:12" x14ac:dyDescent="0.2">
      <c r="A188" s="48"/>
      <c r="C188" s="5">
        <v>1</v>
      </c>
      <c r="D188" s="9" t="s">
        <v>33</v>
      </c>
      <c r="E188" s="5" t="s">
        <v>624</v>
      </c>
      <c r="F188">
        <v>0.69</v>
      </c>
      <c r="G188">
        <v>2.6</v>
      </c>
      <c r="H188" s="8">
        <f>F188*G188</f>
        <v>1.7939999999999998</v>
      </c>
      <c r="I188" s="155" t="s">
        <v>322</v>
      </c>
    </row>
    <row r="189" spans="1:12" x14ac:dyDescent="0.2">
      <c r="A189" s="48"/>
      <c r="C189" s="36">
        <v>1</v>
      </c>
      <c r="D189" s="3" t="s">
        <v>33</v>
      </c>
      <c r="E189" s="36" t="s">
        <v>625</v>
      </c>
      <c r="F189" s="1">
        <v>0.248</v>
      </c>
      <c r="G189" s="1">
        <v>9.1080000000000005</v>
      </c>
      <c r="H189" s="58">
        <f>F189*G189</f>
        <v>2.2587839999999999</v>
      </c>
      <c r="I189" s="15" t="s">
        <v>366</v>
      </c>
    </row>
    <row r="190" spans="1:12" x14ac:dyDescent="0.2">
      <c r="D190" s="64" t="s">
        <v>627</v>
      </c>
      <c r="H190" s="57">
        <f>C188*H188+C189*H189</f>
        <v>4.0527839999999999</v>
      </c>
    </row>
    <row r="191" spans="1:12" x14ac:dyDescent="0.2">
      <c r="H191" s="168"/>
    </row>
    <row r="192" spans="1:12" x14ac:dyDescent="0.2">
      <c r="A192" s="15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157" t="s">
        <v>622</v>
      </c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</row>
    <row r="194" spans="1:12" x14ac:dyDescent="0.2">
      <c r="A194" s="48"/>
      <c r="B194" t="s">
        <v>432</v>
      </c>
    </row>
    <row r="195" spans="1:12" x14ac:dyDescent="0.2">
      <c r="A195" s="48"/>
      <c r="B195" t="s">
        <v>642</v>
      </c>
    </row>
    <row r="196" spans="1:12" x14ac:dyDescent="0.2">
      <c r="A196" s="48"/>
    </row>
    <row r="197" spans="1:12" x14ac:dyDescent="0.2">
      <c r="A197" s="48"/>
      <c r="C197" s="37" t="s">
        <v>457</v>
      </c>
      <c r="D197" s="39"/>
      <c r="E197" s="33"/>
      <c r="F197" s="86" t="s">
        <v>316</v>
      </c>
      <c r="G197" s="33" t="s">
        <v>317</v>
      </c>
      <c r="H197" s="33" t="s">
        <v>623</v>
      </c>
      <c r="I197" s="166" t="s">
        <v>319</v>
      </c>
    </row>
    <row r="198" spans="1:12" x14ac:dyDescent="0.2">
      <c r="A198" s="48"/>
      <c r="C198" s="32">
        <v>3</v>
      </c>
      <c r="D198" s="33" t="s">
        <v>33</v>
      </c>
      <c r="E198" s="32" t="s">
        <v>608</v>
      </c>
      <c r="F198" s="33">
        <v>3.8</v>
      </c>
      <c r="G198" s="33">
        <v>2.8029999999999999</v>
      </c>
      <c r="H198" s="72">
        <f t="shared" ref="H198:H199" si="15">F198*G198</f>
        <v>10.651399999999999</v>
      </c>
      <c r="I198" s="167" t="s">
        <v>336</v>
      </c>
      <c r="K198">
        <v>71.474199999999996</v>
      </c>
    </row>
    <row r="199" spans="1:12" x14ac:dyDescent="0.2">
      <c r="A199" s="48"/>
      <c r="C199" s="36">
        <v>1</v>
      </c>
      <c r="D199" s="1" t="s">
        <v>33</v>
      </c>
      <c r="E199" s="36" t="s">
        <v>650</v>
      </c>
      <c r="F199" s="1">
        <v>15.2</v>
      </c>
      <c r="G199" s="1">
        <v>2.6</v>
      </c>
      <c r="H199" s="1">
        <f t="shared" si="15"/>
        <v>39.519999999999996</v>
      </c>
      <c r="I199" s="15" t="s">
        <v>322</v>
      </c>
    </row>
    <row r="200" spans="1:12" x14ac:dyDescent="0.2">
      <c r="A200" s="48"/>
      <c r="D200" s="64" t="s">
        <v>627</v>
      </c>
      <c r="H200" s="57">
        <f>C198*H198+C199*H199</f>
        <v>71.474199999999996</v>
      </c>
    </row>
    <row r="201" spans="1:12" x14ac:dyDescent="0.2">
      <c r="A201" s="48"/>
    </row>
    <row r="202" spans="1:12" x14ac:dyDescent="0.2">
      <c r="A202" s="48"/>
    </row>
    <row r="203" spans="1:12" x14ac:dyDescent="0.2">
      <c r="A203" s="170" t="s">
        <v>766</v>
      </c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1:12" x14ac:dyDescent="0.2">
      <c r="A204" s="48"/>
      <c r="B204" t="s">
        <v>770</v>
      </c>
    </row>
    <row r="205" spans="1:12" x14ac:dyDescent="0.2">
      <c r="A205" s="48"/>
      <c r="B205" t="s">
        <v>771</v>
      </c>
    </row>
    <row r="206" spans="1:12" x14ac:dyDescent="0.2">
      <c r="A206" s="48"/>
      <c r="B206" t="s">
        <v>772</v>
      </c>
    </row>
    <row r="207" spans="1:12" x14ac:dyDescent="0.2">
      <c r="A207" s="48"/>
    </row>
    <row r="208" spans="1:12" x14ac:dyDescent="0.2">
      <c r="A208" s="48"/>
      <c r="C208" t="s">
        <v>768</v>
      </c>
    </row>
    <row r="209" spans="1:12" x14ac:dyDescent="0.2">
      <c r="A209" s="48"/>
      <c r="C209" t="s">
        <v>773</v>
      </c>
    </row>
    <row r="210" spans="1:12" x14ac:dyDescent="0.2">
      <c r="A210" s="48"/>
      <c r="C210" t="s">
        <v>774</v>
      </c>
    </row>
    <row r="211" spans="1:12" x14ac:dyDescent="0.2">
      <c r="A211" s="48"/>
      <c r="C211" t="s">
        <v>775</v>
      </c>
      <c r="F211" t="s">
        <v>776</v>
      </c>
      <c r="G211" s="49" t="s">
        <v>764</v>
      </c>
    </row>
    <row r="212" spans="1:12" x14ac:dyDescent="0.2">
      <c r="A212" s="48"/>
      <c r="C212" t="s">
        <v>769</v>
      </c>
    </row>
    <row r="213" spans="1:12" x14ac:dyDescent="0.2">
      <c r="A213" s="48"/>
      <c r="C213" t="s">
        <v>777</v>
      </c>
    </row>
    <row r="214" spans="1:12" x14ac:dyDescent="0.2">
      <c r="A214" s="48"/>
      <c r="C214" s="49" t="s">
        <v>767</v>
      </c>
    </row>
    <row r="215" spans="1:12" x14ac:dyDescent="0.2">
      <c r="A215" s="48"/>
    </row>
    <row r="216" spans="1:12" x14ac:dyDescent="0.2">
      <c r="A216" s="15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">
      <c r="A217" s="157" t="s">
        <v>301</v>
      </c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</row>
    <row r="218" spans="1:12" x14ac:dyDescent="0.2">
      <c r="A218" s="48"/>
      <c r="B218" t="s">
        <v>424</v>
      </c>
    </row>
    <row r="219" spans="1:12" x14ac:dyDescent="0.2">
      <c r="A219" s="48"/>
    </row>
    <row r="220" spans="1:12" x14ac:dyDescent="0.2">
      <c r="A220" s="48"/>
      <c r="C220" s="47" t="s">
        <v>413</v>
      </c>
      <c r="D220" s="47"/>
      <c r="E220" s="47"/>
      <c r="F220" s="47"/>
      <c r="G220" s="47"/>
      <c r="H220" s="47" t="s">
        <v>94</v>
      </c>
      <c r="I220" s="47" t="s">
        <v>414</v>
      </c>
      <c r="J220" s="100" t="s">
        <v>415</v>
      </c>
    </row>
    <row r="221" spans="1:12" x14ac:dyDescent="0.2">
      <c r="A221" s="48"/>
      <c r="C221" t="s">
        <v>416</v>
      </c>
      <c r="H221" t="s">
        <v>368</v>
      </c>
      <c r="I221">
        <v>20</v>
      </c>
      <c r="J221" s="25">
        <v>15.1</v>
      </c>
    </row>
    <row r="222" spans="1:12" x14ac:dyDescent="0.2">
      <c r="A222" s="48"/>
      <c r="C222" t="s">
        <v>417</v>
      </c>
      <c r="J222" s="101">
        <f>160*G227</f>
        <v>17.056857142857144</v>
      </c>
    </row>
    <row r="223" spans="1:12" x14ac:dyDescent="0.2">
      <c r="A223" s="48"/>
      <c r="C223" t="s">
        <v>418</v>
      </c>
      <c r="H223" t="s">
        <v>368</v>
      </c>
      <c r="I223">
        <v>20</v>
      </c>
      <c r="J223" s="25">
        <v>38.1</v>
      </c>
    </row>
    <row r="224" spans="1:12" x14ac:dyDescent="0.2">
      <c r="A224" s="48"/>
      <c r="C224" t="s">
        <v>419</v>
      </c>
      <c r="J224" s="25">
        <v>45.72</v>
      </c>
    </row>
    <row r="225" spans="1:12" x14ac:dyDescent="0.2">
      <c r="A225" s="48"/>
      <c r="C225" t="s">
        <v>420</v>
      </c>
      <c r="H225" t="s">
        <v>368</v>
      </c>
      <c r="I225">
        <v>20</v>
      </c>
      <c r="J225" s="25">
        <v>26.9</v>
      </c>
    </row>
    <row r="226" spans="1:12" x14ac:dyDescent="0.2">
      <c r="A226" s="48"/>
      <c r="C226" t="s">
        <v>421</v>
      </c>
      <c r="H226" t="s">
        <v>368</v>
      </c>
    </row>
    <row r="227" spans="1:12" x14ac:dyDescent="0.2">
      <c r="A227" s="48"/>
      <c r="C227" t="s">
        <v>422</v>
      </c>
      <c r="G227" s="102">
        <f>(J221/100+J225/250+J224/630+J223/400)/4</f>
        <v>0.10660535714285714</v>
      </c>
      <c r="H227" t="s">
        <v>423</v>
      </c>
    </row>
    <row r="228" spans="1:12" x14ac:dyDescent="0.2">
      <c r="A228" s="48"/>
    </row>
    <row r="229" spans="1:12" x14ac:dyDescent="0.2">
      <c r="A229" s="15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">
      <c r="A230" s="161" t="s">
        <v>302</v>
      </c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</row>
    <row r="231" spans="1:12" x14ac:dyDescent="0.2">
      <c r="A231" s="53"/>
      <c r="B231" t="s">
        <v>343</v>
      </c>
      <c r="G231" s="57">
        <f>SUM(E234:E236,E239)</f>
        <v>126.58620000000001</v>
      </c>
      <c r="I231" t="s">
        <v>344</v>
      </c>
    </row>
    <row r="232" spans="1:12" x14ac:dyDescent="0.2">
      <c r="A232" s="53"/>
    </row>
    <row r="233" spans="1:12" x14ac:dyDescent="0.2">
      <c r="A233" s="53"/>
      <c r="C233" s="99" t="s">
        <v>334</v>
      </c>
      <c r="D233" s="38"/>
      <c r="E233" s="77" t="s">
        <v>333</v>
      </c>
      <c r="F233" s="38" t="s">
        <v>315</v>
      </c>
      <c r="G233" s="60" t="s">
        <v>316</v>
      </c>
      <c r="H233" s="38" t="s">
        <v>317</v>
      </c>
      <c r="I233" s="61" t="s">
        <v>318</v>
      </c>
      <c r="J233" s="60" t="s">
        <v>319</v>
      </c>
      <c r="K233" s="39" t="s">
        <v>320</v>
      </c>
    </row>
    <row r="234" spans="1:12" x14ac:dyDescent="0.2">
      <c r="A234" s="53"/>
      <c r="C234" s="5">
        <v>2</v>
      </c>
      <c r="D234" t="s">
        <v>33</v>
      </c>
      <c r="E234" s="56">
        <f t="shared" ref="E234:E236" si="16">I234*C234</f>
        <v>8.4240000000000013</v>
      </c>
      <c r="F234" s="33" t="s">
        <v>339</v>
      </c>
      <c r="G234" s="33">
        <v>1.62</v>
      </c>
      <c r="H234" s="33">
        <v>2.6</v>
      </c>
      <c r="I234" s="72">
        <f>G234*H234</f>
        <v>4.2120000000000006</v>
      </c>
      <c r="J234" s="73" t="s">
        <v>322</v>
      </c>
      <c r="K234" s="74">
        <v>46502</v>
      </c>
    </row>
    <row r="235" spans="1:12" x14ac:dyDescent="0.2">
      <c r="A235" s="53"/>
      <c r="C235" s="5">
        <v>3</v>
      </c>
      <c r="D235" t="s">
        <v>33</v>
      </c>
      <c r="E235" s="56">
        <f t="shared" si="16"/>
        <v>111.53999999999999</v>
      </c>
      <c r="F235" t="s">
        <v>342</v>
      </c>
      <c r="G235">
        <v>14.3</v>
      </c>
      <c r="H235">
        <v>2.6</v>
      </c>
      <c r="I235" s="8">
        <f>G235*H235</f>
        <v>37.18</v>
      </c>
      <c r="J235" s="62" t="s">
        <v>322</v>
      </c>
      <c r="K235" s="63">
        <v>46502</v>
      </c>
    </row>
    <row r="236" spans="1:12" x14ac:dyDescent="0.2">
      <c r="A236" s="53"/>
      <c r="C236" s="5">
        <v>3</v>
      </c>
      <c r="D236" t="s">
        <v>33</v>
      </c>
      <c r="E236" s="56">
        <f t="shared" si="16"/>
        <v>4.3134000000000006</v>
      </c>
      <c r="F236" t="s">
        <v>340</v>
      </c>
      <c r="G236">
        <v>0.55300000000000005</v>
      </c>
      <c r="H236">
        <v>2.6</v>
      </c>
      <c r="I236" s="8">
        <f>G236*H236</f>
        <v>1.4378000000000002</v>
      </c>
      <c r="J236" s="62" t="s">
        <v>322</v>
      </c>
      <c r="K236" s="63">
        <v>46502</v>
      </c>
    </row>
    <row r="237" spans="1:12" x14ac:dyDescent="0.2">
      <c r="A237" s="53"/>
      <c r="C237" s="5"/>
      <c r="E237" s="9"/>
    </row>
    <row r="238" spans="1:12" x14ac:dyDescent="0.2">
      <c r="A238" s="53"/>
      <c r="C238" s="5"/>
      <c r="E238" s="9"/>
      <c r="F238" s="98" t="s">
        <v>327</v>
      </c>
      <c r="G238" s="64" t="s">
        <v>328</v>
      </c>
      <c r="H238" s="64" t="s">
        <v>329</v>
      </c>
      <c r="I238" s="38" t="s">
        <v>317</v>
      </c>
      <c r="J238" s="61" t="s">
        <v>318</v>
      </c>
      <c r="K238" s="64"/>
    </row>
    <row r="239" spans="1:12" x14ac:dyDescent="0.2">
      <c r="A239" s="53"/>
      <c r="C239" s="36">
        <v>12</v>
      </c>
      <c r="D239" s="1" t="s">
        <v>33</v>
      </c>
      <c r="E239" s="59">
        <f>J239*C239</f>
        <v>2.3088000000000006</v>
      </c>
      <c r="F239" s="39" t="s">
        <v>341</v>
      </c>
      <c r="G239" s="64">
        <v>3.7</v>
      </c>
      <c r="H239" s="64">
        <f>G239/50</f>
        <v>7.400000000000001E-2</v>
      </c>
      <c r="I239" s="64">
        <v>2.6</v>
      </c>
      <c r="J239" s="65">
        <f>H239*I239</f>
        <v>0.19240000000000004</v>
      </c>
      <c r="K239" s="64"/>
    </row>
    <row r="240" spans="1:12" x14ac:dyDescent="0.2">
      <c r="A240" s="53"/>
      <c r="J240" s="8"/>
    </row>
    <row r="241" spans="1:17" x14ac:dyDescent="0.2">
      <c r="A241" s="15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7" x14ac:dyDescent="0.2">
      <c r="A242" s="157" t="s">
        <v>303</v>
      </c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</row>
    <row r="243" spans="1:17" x14ac:dyDescent="0.2">
      <c r="A243" s="48"/>
      <c r="B243" t="s">
        <v>367</v>
      </c>
    </row>
    <row r="244" spans="1:17" x14ac:dyDescent="0.2">
      <c r="A244" s="48"/>
      <c r="D244" s="37" t="s">
        <v>315</v>
      </c>
      <c r="E244" s="60" t="s">
        <v>316</v>
      </c>
      <c r="F244" s="38" t="s">
        <v>317</v>
      </c>
      <c r="G244" s="61" t="s">
        <v>318</v>
      </c>
      <c r="H244" s="77" t="s">
        <v>319</v>
      </c>
      <c r="N244" s="70"/>
      <c r="Q244" s="70"/>
    </row>
    <row r="245" spans="1:17" x14ac:dyDescent="0.2">
      <c r="A245" s="48"/>
      <c r="D245" s="36" t="s">
        <v>365</v>
      </c>
      <c r="E245" s="1">
        <v>0.32900000000000001</v>
      </c>
      <c r="F245" s="1">
        <v>9.1080000000000005</v>
      </c>
      <c r="G245" s="58">
        <f t="shared" ref="G245" si="17">E245*F245</f>
        <v>2.9965320000000002</v>
      </c>
      <c r="H245" s="15" t="s">
        <v>366</v>
      </c>
      <c r="N245" s="70"/>
      <c r="Q245" s="70"/>
    </row>
    <row r="246" spans="1:17" x14ac:dyDescent="0.2">
      <c r="A246" s="48"/>
      <c r="N246" s="70"/>
    </row>
    <row r="247" spans="1:17" x14ac:dyDescent="0.2">
      <c r="A247" s="48"/>
      <c r="N247" s="70"/>
    </row>
    <row r="248" spans="1:17" x14ac:dyDescent="0.2">
      <c r="A248" s="170" t="s">
        <v>740</v>
      </c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N248" s="70"/>
    </row>
    <row r="249" spans="1:17" x14ac:dyDescent="0.2">
      <c r="A249" s="48"/>
      <c r="B249" t="s">
        <v>432</v>
      </c>
      <c r="N249" s="70"/>
    </row>
    <row r="250" spans="1:17" x14ac:dyDescent="0.2">
      <c r="A250" s="48"/>
      <c r="N250" s="70"/>
      <c r="Q250" s="70"/>
    </row>
    <row r="251" spans="1:17" x14ac:dyDescent="0.2">
      <c r="A251" s="48"/>
      <c r="C251" s="1" t="s">
        <v>746</v>
      </c>
      <c r="D251" s="1"/>
      <c r="E251" s="1"/>
      <c r="N251" s="70"/>
      <c r="Q251" s="70"/>
    </row>
    <row r="252" spans="1:17" x14ac:dyDescent="0.2">
      <c r="A252" s="48"/>
      <c r="C252" s="64" t="s">
        <v>747</v>
      </c>
      <c r="D252" s="64" t="s">
        <v>748</v>
      </c>
      <c r="E252" s="64" t="s">
        <v>749</v>
      </c>
      <c r="N252" s="70"/>
      <c r="Q252" s="70"/>
    </row>
    <row r="253" spans="1:17" x14ac:dyDescent="0.2">
      <c r="A253" s="48"/>
      <c r="C253" s="64" t="s">
        <v>750</v>
      </c>
      <c r="D253" s="64">
        <v>22.7</v>
      </c>
      <c r="E253" s="195">
        <f>0.15*D253*1000</f>
        <v>3405</v>
      </c>
      <c r="N253" s="70"/>
      <c r="Q253" s="70"/>
    </row>
    <row r="254" spans="1:17" x14ac:dyDescent="0.2">
      <c r="A254" s="48"/>
      <c r="C254" s="64" t="s">
        <v>751</v>
      </c>
      <c r="D254" s="64">
        <v>38.5</v>
      </c>
      <c r="E254" s="195">
        <f>0.15*D254*1000</f>
        <v>5774.9999999999991</v>
      </c>
      <c r="N254" s="70"/>
      <c r="Q254" s="70"/>
    </row>
    <row r="255" spans="1:17" x14ac:dyDescent="0.2">
      <c r="A255" s="48"/>
      <c r="N255" s="70"/>
      <c r="Q255" s="70"/>
    </row>
    <row r="256" spans="1:17" x14ac:dyDescent="0.2">
      <c r="A256" s="48"/>
      <c r="N256" s="70"/>
      <c r="Q256" s="70"/>
    </row>
    <row r="257" spans="1:17" x14ac:dyDescent="0.2">
      <c r="A257" s="170" t="s">
        <v>653</v>
      </c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N257" s="70"/>
      <c r="Q257" s="70"/>
    </row>
    <row r="258" spans="1:17" x14ac:dyDescent="0.2">
      <c r="A258" s="48"/>
      <c r="B258" t="s">
        <v>660</v>
      </c>
      <c r="N258" s="70"/>
      <c r="Q258" s="70"/>
    </row>
    <row r="259" spans="1:17" x14ac:dyDescent="0.2">
      <c r="A259" s="48"/>
      <c r="B259" t="s">
        <v>663</v>
      </c>
      <c r="N259" s="70"/>
      <c r="Q259" s="70"/>
    </row>
    <row r="260" spans="1:17" x14ac:dyDescent="0.2">
      <c r="A260" s="48"/>
      <c r="B260" t="s">
        <v>661</v>
      </c>
      <c r="N260" s="70"/>
      <c r="Q260" s="70"/>
    </row>
    <row r="261" spans="1:17" x14ac:dyDescent="0.2">
      <c r="A261" s="48"/>
      <c r="B261" t="s">
        <v>662</v>
      </c>
      <c r="N261" s="70"/>
      <c r="Q261" s="70"/>
    </row>
    <row r="262" spans="1:17" x14ac:dyDescent="0.2">
      <c r="A262" s="48"/>
      <c r="N262" s="70"/>
      <c r="Q262" s="70"/>
    </row>
    <row r="263" spans="1:17" x14ac:dyDescent="0.2">
      <c r="A263" s="48"/>
      <c r="C263" s="37" t="s">
        <v>457</v>
      </c>
      <c r="D263" s="39"/>
      <c r="E263" s="32" t="s">
        <v>315</v>
      </c>
      <c r="F263" s="86" t="s">
        <v>316</v>
      </c>
      <c r="G263" s="33" t="s">
        <v>317</v>
      </c>
      <c r="H263" s="171" t="s">
        <v>318</v>
      </c>
      <c r="I263" s="166" t="s">
        <v>319</v>
      </c>
      <c r="N263" s="70"/>
      <c r="Q263" s="70"/>
    </row>
    <row r="264" spans="1:17" x14ac:dyDescent="0.2">
      <c r="A264" s="48"/>
      <c r="C264" s="32">
        <v>3</v>
      </c>
      <c r="D264" s="33" t="s">
        <v>33</v>
      </c>
      <c r="E264" s="32" t="s">
        <v>645</v>
      </c>
      <c r="F264" s="33">
        <v>1.224</v>
      </c>
      <c r="G264" s="33">
        <v>2.6</v>
      </c>
      <c r="H264" s="72">
        <f t="shared" ref="H264" si="18">F264*G264</f>
        <v>3.1823999999999999</v>
      </c>
      <c r="I264" s="167" t="s">
        <v>322</v>
      </c>
      <c r="N264" s="70"/>
      <c r="Q264" s="70"/>
    </row>
    <row r="265" spans="1:17" x14ac:dyDescent="0.2">
      <c r="A265" s="48"/>
      <c r="C265" s="5">
        <v>3</v>
      </c>
      <c r="D265" t="s">
        <v>33</v>
      </c>
      <c r="E265" s="5" t="s">
        <v>646</v>
      </c>
      <c r="H265" s="8">
        <v>10.659000000000001</v>
      </c>
      <c r="I265" s="155" t="s">
        <v>647</v>
      </c>
      <c r="K265">
        <v>171.52420000000001</v>
      </c>
      <c r="N265" s="70"/>
      <c r="Q265" s="70"/>
    </row>
    <row r="266" spans="1:17" x14ac:dyDescent="0.2">
      <c r="A266" s="48"/>
      <c r="C266" s="36">
        <v>1</v>
      </c>
      <c r="D266" s="1" t="s">
        <v>33</v>
      </c>
      <c r="E266" s="36" t="s">
        <v>664</v>
      </c>
      <c r="F266" s="1">
        <v>50</v>
      </c>
      <c r="G266" s="1">
        <v>2.6</v>
      </c>
      <c r="H266" s="1">
        <f t="shared" ref="H266" si="19">F266*G266</f>
        <v>130</v>
      </c>
      <c r="I266" s="15" t="s">
        <v>322</v>
      </c>
      <c r="N266" s="70"/>
      <c r="Q266" s="70"/>
    </row>
    <row r="267" spans="1:17" x14ac:dyDescent="0.2">
      <c r="A267" s="48"/>
      <c r="D267" s="64" t="s">
        <v>627</v>
      </c>
      <c r="H267" s="57">
        <f>C264*H264+C265*H265+C266*H266</f>
        <v>171.52420000000001</v>
      </c>
      <c r="N267" s="70"/>
      <c r="Q267" s="70"/>
    </row>
    <row r="268" spans="1:17" x14ac:dyDescent="0.2">
      <c r="A268" s="48"/>
      <c r="N268" s="70"/>
      <c r="Q268" s="70"/>
    </row>
    <row r="269" spans="1:17" x14ac:dyDescent="0.2">
      <c r="A269" s="15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7" x14ac:dyDescent="0.2">
      <c r="A270" s="162" t="s">
        <v>304</v>
      </c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</row>
    <row r="271" spans="1:17" x14ac:dyDescent="0.2">
      <c r="A271" s="54"/>
      <c r="B271" t="s">
        <v>432</v>
      </c>
    </row>
    <row r="272" spans="1:17" x14ac:dyDescent="0.2">
      <c r="A272" s="54"/>
      <c r="B272" t="s">
        <v>433</v>
      </c>
    </row>
    <row r="273" spans="1:12" x14ac:dyDescent="0.2">
      <c r="A273" s="54"/>
    </row>
    <row r="274" spans="1:12" x14ac:dyDescent="0.2">
      <c r="A274" s="54"/>
      <c r="C274" s="103" t="s">
        <v>292</v>
      </c>
      <c r="D274" s="104" t="s">
        <v>382</v>
      </c>
      <c r="E274" s="104" t="s">
        <v>425</v>
      </c>
      <c r="F274" s="104" t="s">
        <v>426</v>
      </c>
      <c r="G274" s="104" t="s">
        <v>427</v>
      </c>
      <c r="H274" s="105" t="s">
        <v>415</v>
      </c>
    </row>
    <row r="275" spans="1:12" x14ac:dyDescent="0.2">
      <c r="A275" s="54"/>
      <c r="C275" s="5"/>
      <c r="D275" s="70">
        <v>300</v>
      </c>
      <c r="E275">
        <v>400</v>
      </c>
      <c r="F275">
        <v>0.28399999999999997</v>
      </c>
      <c r="G275">
        <f>0.6*F275</f>
        <v>0.17039999999999997</v>
      </c>
      <c r="H275" s="56">
        <f>9.108*G275</f>
        <v>1.5520031999999997</v>
      </c>
    </row>
    <row r="276" spans="1:12" x14ac:dyDescent="0.2">
      <c r="A276" s="54"/>
      <c r="C276" s="5" t="s">
        <v>392</v>
      </c>
      <c r="D276">
        <v>400</v>
      </c>
      <c r="E276">
        <v>400</v>
      </c>
      <c r="F276">
        <v>0.28399999999999997</v>
      </c>
      <c r="G276">
        <f>0.6*F276</f>
        <v>0.17039999999999997</v>
      </c>
      <c r="H276" s="56">
        <f>9.108*G276</f>
        <v>1.5520031999999997</v>
      </c>
    </row>
    <row r="277" spans="1:12" x14ac:dyDescent="0.2">
      <c r="A277" s="54"/>
      <c r="C277" s="5"/>
      <c r="D277">
        <v>400</v>
      </c>
      <c r="E277">
        <v>1000</v>
      </c>
      <c r="F277" t="s">
        <v>428</v>
      </c>
      <c r="H277" s="106" t="s">
        <v>429</v>
      </c>
    </row>
    <row r="278" spans="1:12" x14ac:dyDescent="0.2">
      <c r="A278" s="54"/>
      <c r="C278" s="5" t="s">
        <v>395</v>
      </c>
      <c r="D278">
        <v>600</v>
      </c>
      <c r="E278">
        <v>630</v>
      </c>
      <c r="F278">
        <v>0.53400000000000003</v>
      </c>
      <c r="G278">
        <f>0.9*F278</f>
        <v>0.48060000000000003</v>
      </c>
      <c r="H278" s="56">
        <f t="shared" ref="H278:H285" si="20">9.108*G278</f>
        <v>4.3773048000000001</v>
      </c>
    </row>
    <row r="279" spans="1:12" x14ac:dyDescent="0.2">
      <c r="A279" s="54"/>
      <c r="C279" s="5"/>
      <c r="D279">
        <v>600</v>
      </c>
      <c r="E279">
        <v>1000</v>
      </c>
      <c r="F279" t="s">
        <v>428</v>
      </c>
      <c r="H279" s="106" t="s">
        <v>429</v>
      </c>
    </row>
    <row r="280" spans="1:12" x14ac:dyDescent="0.2">
      <c r="A280" s="54"/>
      <c r="C280" s="5" t="s">
        <v>396</v>
      </c>
      <c r="D280">
        <v>850</v>
      </c>
      <c r="E280">
        <v>630</v>
      </c>
      <c r="F280">
        <v>0.78400000000000003</v>
      </c>
      <c r="G280">
        <f>0.9*F280</f>
        <v>0.7056</v>
      </c>
      <c r="H280" s="56">
        <f t="shared" si="20"/>
        <v>6.4266048000000007</v>
      </c>
    </row>
    <row r="281" spans="1:12" x14ac:dyDescent="0.2">
      <c r="A281" s="54"/>
      <c r="C281" s="5"/>
      <c r="D281">
        <v>850</v>
      </c>
      <c r="E281">
        <v>1000</v>
      </c>
      <c r="F281" t="s">
        <v>430</v>
      </c>
      <c r="H281" s="106" t="s">
        <v>429</v>
      </c>
    </row>
    <row r="282" spans="1:12" x14ac:dyDescent="0.2">
      <c r="A282" s="54"/>
      <c r="C282" s="5" t="s">
        <v>397</v>
      </c>
      <c r="D282">
        <v>1050</v>
      </c>
      <c r="E282">
        <v>630</v>
      </c>
      <c r="F282">
        <v>0.95</v>
      </c>
      <c r="G282">
        <f>0.9*F282</f>
        <v>0.85499999999999998</v>
      </c>
      <c r="H282" s="56">
        <f t="shared" si="20"/>
        <v>7.7873400000000004</v>
      </c>
    </row>
    <row r="283" spans="1:12" x14ac:dyDescent="0.2">
      <c r="A283" s="54"/>
      <c r="C283" s="5"/>
      <c r="D283">
        <v>1050</v>
      </c>
      <c r="E283">
        <v>1000</v>
      </c>
      <c r="F283" t="s">
        <v>431</v>
      </c>
      <c r="H283" s="106" t="s">
        <v>429</v>
      </c>
    </row>
    <row r="284" spans="1:12" x14ac:dyDescent="0.2">
      <c r="A284" s="54"/>
      <c r="C284" s="5" t="s">
        <v>398</v>
      </c>
      <c r="D284">
        <v>1350</v>
      </c>
      <c r="E284">
        <v>630</v>
      </c>
      <c r="F284">
        <v>1.264</v>
      </c>
      <c r="G284">
        <f>0.9*F284</f>
        <v>1.1375999999999999</v>
      </c>
      <c r="H284" s="56">
        <f t="shared" si="20"/>
        <v>10.3612608</v>
      </c>
    </row>
    <row r="285" spans="1:12" x14ac:dyDescent="0.2">
      <c r="A285" s="54"/>
      <c r="C285" s="36"/>
      <c r="D285" s="1">
        <v>1350</v>
      </c>
      <c r="E285" s="1">
        <v>1000</v>
      </c>
      <c r="F285" s="1">
        <v>1.264</v>
      </c>
      <c r="G285" s="1">
        <f>1.6*F285</f>
        <v>2.0224000000000002</v>
      </c>
      <c r="H285" s="59">
        <f t="shared" si="20"/>
        <v>18.420019200000002</v>
      </c>
    </row>
    <row r="286" spans="1:12" x14ac:dyDescent="0.2">
      <c r="A286" s="54"/>
    </row>
    <row r="287" spans="1:12" x14ac:dyDescent="0.2">
      <c r="A287" s="15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">
      <c r="A288" s="161" t="s">
        <v>654</v>
      </c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163"/>
    </row>
    <row r="289" spans="1:12" x14ac:dyDescent="0.2">
      <c r="A289" s="53"/>
      <c r="B289" t="s">
        <v>629</v>
      </c>
    </row>
    <row r="290" spans="1:12" x14ac:dyDescent="0.2">
      <c r="A290" s="53"/>
      <c r="B290" t="s">
        <v>630</v>
      </c>
      <c r="L290" s="49" t="s">
        <v>273</v>
      </c>
    </row>
    <row r="291" spans="1:12" x14ac:dyDescent="0.2">
      <c r="A291" s="53"/>
      <c r="B291" t="s">
        <v>655</v>
      </c>
      <c r="C291" t="s">
        <v>634</v>
      </c>
    </row>
    <row r="292" spans="1:12" x14ac:dyDescent="0.2">
      <c r="A292" s="53"/>
      <c r="C292" t="s">
        <v>636</v>
      </c>
    </row>
    <row r="293" spans="1:12" x14ac:dyDescent="0.2">
      <c r="A293" s="53"/>
      <c r="B293" t="s">
        <v>656</v>
      </c>
      <c r="C293" t="s">
        <v>657</v>
      </c>
    </row>
    <row r="294" spans="1:12" x14ac:dyDescent="0.2">
      <c r="A294" s="53"/>
      <c r="C294" t="s">
        <v>658</v>
      </c>
    </row>
    <row r="295" spans="1:12" x14ac:dyDescent="0.2">
      <c r="A295" s="53"/>
      <c r="C295" t="s">
        <v>659</v>
      </c>
    </row>
    <row r="296" spans="1:12" x14ac:dyDescent="0.2">
      <c r="A296" s="53"/>
    </row>
    <row r="297" spans="1:12" x14ac:dyDescent="0.2">
      <c r="A297" s="53"/>
      <c r="C297" s="37" t="s">
        <v>457</v>
      </c>
      <c r="D297" s="39"/>
      <c r="E297" s="37" t="s">
        <v>315</v>
      </c>
      <c r="F297" s="60" t="s">
        <v>316</v>
      </c>
      <c r="G297" s="38" t="s">
        <v>317</v>
      </c>
      <c r="H297" s="61" t="s">
        <v>318</v>
      </c>
      <c r="I297" s="77" t="s">
        <v>319</v>
      </c>
    </row>
    <row r="298" spans="1:12" x14ac:dyDescent="0.2">
      <c r="A298" s="53"/>
      <c r="C298" s="5">
        <v>1</v>
      </c>
      <c r="D298" s="9" t="s">
        <v>33</v>
      </c>
      <c r="E298" s="5" t="s">
        <v>631</v>
      </c>
      <c r="F298">
        <v>4.0999999999999996</v>
      </c>
      <c r="G298">
        <v>2.6</v>
      </c>
      <c r="H298" s="8">
        <f t="shared" ref="H298:H301" si="21">F298*G298</f>
        <v>10.66</v>
      </c>
      <c r="I298" s="155" t="s">
        <v>322</v>
      </c>
    </row>
    <row r="299" spans="1:12" x14ac:dyDescent="0.2">
      <c r="A299" s="53"/>
      <c r="C299" s="5">
        <v>1</v>
      </c>
      <c r="D299" s="9" t="s">
        <v>33</v>
      </c>
      <c r="E299" s="5" t="s">
        <v>632</v>
      </c>
      <c r="F299">
        <v>0.98699999999999999</v>
      </c>
      <c r="G299">
        <v>2.6</v>
      </c>
      <c r="H299" s="8">
        <f t="shared" si="21"/>
        <v>2.5662000000000003</v>
      </c>
      <c r="I299" s="155" t="s">
        <v>322</v>
      </c>
    </row>
    <row r="300" spans="1:12" x14ac:dyDescent="0.2">
      <c r="A300" s="53"/>
      <c r="C300" s="5">
        <v>2</v>
      </c>
      <c r="D300" s="9" t="s">
        <v>33</v>
      </c>
      <c r="E300" s="5" t="s">
        <v>324</v>
      </c>
      <c r="F300">
        <v>25</v>
      </c>
      <c r="G300">
        <v>0.15</v>
      </c>
      <c r="H300" s="8">
        <f t="shared" si="21"/>
        <v>3.75</v>
      </c>
      <c r="I300" s="155" t="s">
        <v>92</v>
      </c>
    </row>
    <row r="301" spans="1:12" x14ac:dyDescent="0.2">
      <c r="A301" s="53"/>
      <c r="C301" s="5">
        <v>1</v>
      </c>
      <c r="D301" s="9" t="s">
        <v>33</v>
      </c>
      <c r="E301" s="5" t="s">
        <v>325</v>
      </c>
      <c r="F301">
        <v>6.6</v>
      </c>
      <c r="G301">
        <v>2.6</v>
      </c>
      <c r="H301" s="8">
        <f t="shared" si="21"/>
        <v>17.16</v>
      </c>
      <c r="I301" s="155" t="s">
        <v>322</v>
      </c>
    </row>
    <row r="302" spans="1:12" x14ac:dyDescent="0.2">
      <c r="A302" s="53"/>
      <c r="C302" s="36">
        <v>1</v>
      </c>
      <c r="D302" s="3" t="s">
        <v>33</v>
      </c>
      <c r="E302" s="36" t="s">
        <v>633</v>
      </c>
      <c r="F302" s="58">
        <v>1.6972</v>
      </c>
      <c r="G302" s="1">
        <v>2.6</v>
      </c>
      <c r="H302" s="58">
        <v>4.4127200000000002</v>
      </c>
      <c r="I302" s="15" t="s">
        <v>322</v>
      </c>
    </row>
    <row r="303" spans="1:12" x14ac:dyDescent="0.2">
      <c r="A303" s="53"/>
      <c r="D303" s="64" t="s">
        <v>627</v>
      </c>
      <c r="H303" s="57">
        <f>C298*H298+C299*H299+C300*H300+C301*H301+C302*H302</f>
        <v>42.298920000000003</v>
      </c>
    </row>
    <row r="304" spans="1:12" x14ac:dyDescent="0.2">
      <c r="A304" s="53"/>
    </row>
    <row r="305" spans="1:14" x14ac:dyDescent="0.2">
      <c r="A305" s="15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4" x14ac:dyDescent="0.2">
      <c r="A306" s="161" t="s">
        <v>305</v>
      </c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</row>
    <row r="307" spans="1:14" x14ac:dyDescent="0.2">
      <c r="A307" s="53"/>
      <c r="B307" t="s">
        <v>448</v>
      </c>
    </row>
    <row r="308" spans="1:14" x14ac:dyDescent="0.2">
      <c r="A308" s="53"/>
      <c r="B308" t="s">
        <v>432</v>
      </c>
    </row>
    <row r="309" spans="1:14" x14ac:dyDescent="0.2">
      <c r="A309" s="53"/>
      <c r="B309" t="s">
        <v>450</v>
      </c>
      <c r="I309" t="s">
        <v>447</v>
      </c>
      <c r="K309" s="49" t="s">
        <v>446</v>
      </c>
    </row>
    <row r="310" spans="1:14" x14ac:dyDescent="0.2">
      <c r="A310" s="53"/>
    </row>
    <row r="311" spans="1:14" x14ac:dyDescent="0.2">
      <c r="A311" s="53"/>
      <c r="C311" s="37" t="s">
        <v>457</v>
      </c>
      <c r="D311" s="39"/>
      <c r="E311" s="37"/>
      <c r="F311" s="60" t="s">
        <v>451</v>
      </c>
      <c r="G311" s="60" t="s">
        <v>452</v>
      </c>
      <c r="H311" s="75"/>
      <c r="I311" s="38"/>
      <c r="J311" s="39"/>
    </row>
    <row r="312" spans="1:14" x14ac:dyDescent="0.2">
      <c r="A312" s="53"/>
      <c r="C312" s="5">
        <v>4</v>
      </c>
      <c r="D312" s="9" t="s">
        <v>33</v>
      </c>
      <c r="E312" s="5" t="s">
        <v>453</v>
      </c>
      <c r="F312">
        <v>1.7999999999999999E-2</v>
      </c>
      <c r="G312">
        <v>4.2</v>
      </c>
      <c r="H312" s="8">
        <f>F312*G312</f>
        <v>7.5600000000000001E-2</v>
      </c>
      <c r="I312" t="s">
        <v>454</v>
      </c>
      <c r="J312" s="9"/>
    </row>
    <row r="313" spans="1:14" x14ac:dyDescent="0.2">
      <c r="A313" s="53"/>
      <c r="C313" s="5">
        <v>5</v>
      </c>
      <c r="D313" s="9" t="s">
        <v>33</v>
      </c>
      <c r="E313" s="5" t="s">
        <v>455</v>
      </c>
      <c r="F313">
        <v>1.4999999999999999E-2</v>
      </c>
      <c r="G313">
        <v>4.2</v>
      </c>
      <c r="H313" s="8">
        <f>F313*G313</f>
        <v>6.3E-2</v>
      </c>
      <c r="I313" t="s">
        <v>454</v>
      </c>
      <c r="J313" s="9"/>
    </row>
    <row r="314" spans="1:14" x14ac:dyDescent="0.2">
      <c r="A314" s="53"/>
      <c r="C314" s="5">
        <v>4</v>
      </c>
      <c r="D314" s="9" t="s">
        <v>33</v>
      </c>
      <c r="E314" s="5" t="s">
        <v>456</v>
      </c>
      <c r="F314">
        <v>0.9</v>
      </c>
      <c r="G314">
        <v>4.2</v>
      </c>
      <c r="H314">
        <f>F314*G314</f>
        <v>3.7800000000000002</v>
      </c>
      <c r="I314" t="s">
        <v>454</v>
      </c>
      <c r="J314" s="9"/>
    </row>
    <row r="315" spans="1:14" x14ac:dyDescent="0.2">
      <c r="A315" s="53"/>
      <c r="C315" s="36">
        <v>50</v>
      </c>
      <c r="D315" s="3" t="s">
        <v>331</v>
      </c>
      <c r="E315" s="36" t="s">
        <v>449</v>
      </c>
      <c r="F315" s="1"/>
      <c r="G315" s="1"/>
      <c r="H315" s="58">
        <v>0.921875</v>
      </c>
      <c r="I315" s="1" t="s">
        <v>445</v>
      </c>
      <c r="J315" s="3"/>
    </row>
    <row r="316" spans="1:14" x14ac:dyDescent="0.2">
      <c r="A316" s="53"/>
      <c r="D316" s="64" t="s">
        <v>627</v>
      </c>
      <c r="F316" s="8"/>
      <c r="H316" s="57">
        <f>C312*H312+C313*H313+C314*H314+C315*H315</f>
        <v>61.831150000000001</v>
      </c>
      <c r="N316" s="8"/>
    </row>
    <row r="317" spans="1:14" x14ac:dyDescent="0.2">
      <c r="A317" s="53"/>
      <c r="F317" s="8"/>
      <c r="N317" s="8"/>
    </row>
    <row r="318" spans="1:14" x14ac:dyDescent="0.2">
      <c r="A318" s="15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4" x14ac:dyDescent="0.2">
      <c r="A319" s="162" t="s">
        <v>439</v>
      </c>
      <c r="B319" s="47"/>
      <c r="C319" s="47"/>
      <c r="D319" s="164"/>
      <c r="E319" s="47"/>
      <c r="F319" s="47"/>
      <c r="G319" s="47"/>
      <c r="H319" s="47"/>
      <c r="I319" s="47"/>
      <c r="J319" s="47"/>
      <c r="K319" s="47"/>
      <c r="L319" s="47"/>
    </row>
    <row r="320" spans="1:14" x14ac:dyDescent="0.2">
      <c r="A320" s="54"/>
      <c r="B320" t="s">
        <v>643</v>
      </c>
    </row>
    <row r="321" spans="1:12" x14ac:dyDescent="0.2">
      <c r="A321" s="54"/>
      <c r="E321" s="8"/>
    </row>
    <row r="322" spans="1:12" x14ac:dyDescent="0.2">
      <c r="A322" s="15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">
      <c r="A323" s="162" t="s">
        <v>441</v>
      </c>
      <c r="B323" s="47"/>
      <c r="C323" s="47"/>
      <c r="D323" s="164"/>
      <c r="E323" s="47"/>
      <c r="F323" s="47"/>
      <c r="G323" s="47"/>
      <c r="H323" s="47"/>
      <c r="I323" s="47"/>
      <c r="J323" s="47"/>
      <c r="K323" s="47"/>
      <c r="L323" s="47"/>
    </row>
    <row r="324" spans="1:12" x14ac:dyDescent="0.2">
      <c r="A324" s="54"/>
      <c r="B324" t="s">
        <v>432</v>
      </c>
    </row>
    <row r="325" spans="1:12" x14ac:dyDescent="0.2">
      <c r="A325" s="54"/>
      <c r="B325" t="s">
        <v>458</v>
      </c>
      <c r="I325" t="s">
        <v>447</v>
      </c>
      <c r="K325" s="49" t="s">
        <v>446</v>
      </c>
    </row>
    <row r="326" spans="1:12" x14ac:dyDescent="0.2">
      <c r="A326" s="54"/>
      <c r="B326" t="s">
        <v>459</v>
      </c>
      <c r="E326" s="8">
        <f>25/16*0.59</f>
        <v>0.921875</v>
      </c>
      <c r="F326" t="s">
        <v>445</v>
      </c>
    </row>
    <row r="327" spans="1:12" x14ac:dyDescent="0.2">
      <c r="A327" s="54"/>
      <c r="E327" s="57">
        <f>20*E326</f>
        <v>18.4375</v>
      </c>
    </row>
    <row r="328" spans="1:12" x14ac:dyDescent="0.2">
      <c r="A328" s="54"/>
    </row>
    <row r="329" spans="1:12" x14ac:dyDescent="0.2">
      <c r="A329" s="15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">
      <c r="A330" s="162" t="s">
        <v>443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</row>
    <row r="331" spans="1:12" x14ac:dyDescent="0.2">
      <c r="A331" s="54"/>
      <c r="B331" t="s">
        <v>432</v>
      </c>
    </row>
    <row r="332" spans="1:12" x14ac:dyDescent="0.2">
      <c r="A332" s="54"/>
      <c r="B332" t="s">
        <v>450</v>
      </c>
      <c r="I332" t="s">
        <v>447</v>
      </c>
      <c r="K332" s="49" t="s">
        <v>446</v>
      </c>
    </row>
    <row r="333" spans="1:12" x14ac:dyDescent="0.2">
      <c r="A333" s="54"/>
      <c r="B333" t="s">
        <v>444</v>
      </c>
      <c r="E333" s="8">
        <f>50/16*0.59</f>
        <v>1.84375</v>
      </c>
      <c r="F333" t="s">
        <v>445</v>
      </c>
    </row>
    <row r="334" spans="1:12" x14ac:dyDescent="0.2">
      <c r="A334" s="54"/>
      <c r="E334" s="57">
        <f>30*E333</f>
        <v>55.3125</v>
      </c>
    </row>
    <row r="335" spans="1:12" x14ac:dyDescent="0.2">
      <c r="A335" s="15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">
      <c r="A336" s="157" t="s">
        <v>306</v>
      </c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</row>
    <row r="337" spans="1:12" x14ac:dyDescent="0.2">
      <c r="A337" s="48"/>
      <c r="B337" t="s">
        <v>432</v>
      </c>
    </row>
    <row r="338" spans="1:12" x14ac:dyDescent="0.2">
      <c r="A338" s="48"/>
      <c r="B338" t="s">
        <v>434</v>
      </c>
      <c r="G338" s="49" t="s">
        <v>436</v>
      </c>
    </row>
    <row r="339" spans="1:12" x14ac:dyDescent="0.2">
      <c r="A339" s="48"/>
      <c r="B339" t="s">
        <v>437</v>
      </c>
      <c r="G339" s="49" t="s">
        <v>435</v>
      </c>
    </row>
    <row r="340" spans="1:12" x14ac:dyDescent="0.2">
      <c r="A340" s="48"/>
    </row>
    <row r="341" spans="1:12" x14ac:dyDescent="0.2">
      <c r="A341" s="15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">
      <c r="A342" s="165" t="s">
        <v>307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</row>
    <row r="343" spans="1:12" x14ac:dyDescent="0.2">
      <c r="A343" s="165" t="s">
        <v>308</v>
      </c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</row>
    <row r="344" spans="1:12" x14ac:dyDescent="0.2">
      <c r="A344" s="52"/>
      <c r="B344" t="s">
        <v>460</v>
      </c>
    </row>
    <row r="345" spans="1:12" x14ac:dyDescent="0.2">
      <c r="A345" s="52"/>
      <c r="B345" t="s">
        <v>523</v>
      </c>
    </row>
    <row r="346" spans="1:12" x14ac:dyDescent="0.2">
      <c r="A346" s="52"/>
      <c r="B346" t="s">
        <v>524</v>
      </c>
    </row>
    <row r="347" spans="1:12" x14ac:dyDescent="0.2">
      <c r="A347" s="52"/>
      <c r="B347" t="s">
        <v>525</v>
      </c>
    </row>
    <row r="348" spans="1:12" x14ac:dyDescent="0.2">
      <c r="A348" s="52"/>
      <c r="B348" t="s">
        <v>526</v>
      </c>
    </row>
    <row r="349" spans="1:12" x14ac:dyDescent="0.2">
      <c r="A349" s="52"/>
      <c r="B349" t="s">
        <v>527</v>
      </c>
    </row>
    <row r="350" spans="1:12" x14ac:dyDescent="0.2">
      <c r="A350" s="52"/>
    </row>
    <row r="351" spans="1:12" x14ac:dyDescent="0.2">
      <c r="A351" s="52"/>
      <c r="C351" s="112" t="s">
        <v>528</v>
      </c>
      <c r="D351" s="113"/>
      <c r="E351" s="113"/>
      <c r="F351" s="113"/>
      <c r="G351" s="113"/>
      <c r="H351" s="113" t="s">
        <v>461</v>
      </c>
      <c r="I351" s="114"/>
      <c r="J351" s="114" t="s">
        <v>372</v>
      </c>
      <c r="K351" s="114" t="s">
        <v>372</v>
      </c>
      <c r="L351" s="115" t="s">
        <v>372</v>
      </c>
    </row>
    <row r="352" spans="1:12" x14ac:dyDescent="0.2">
      <c r="A352" s="52"/>
      <c r="C352" s="90" t="s">
        <v>462</v>
      </c>
      <c r="D352" s="92"/>
      <c r="E352" s="92"/>
      <c r="F352" s="92"/>
      <c r="G352" s="92"/>
      <c r="H352" s="92"/>
      <c r="I352" s="92"/>
      <c r="J352" s="91" t="s">
        <v>463</v>
      </c>
      <c r="K352" s="91" t="s">
        <v>464</v>
      </c>
      <c r="L352" s="116" t="s">
        <v>465</v>
      </c>
    </row>
    <row r="353" spans="1:12" x14ac:dyDescent="0.2">
      <c r="A353" s="52"/>
      <c r="C353" s="5" t="s">
        <v>529</v>
      </c>
      <c r="L353" s="9"/>
    </row>
    <row r="354" spans="1:12" x14ac:dyDescent="0.2">
      <c r="A354" s="52"/>
      <c r="C354" s="5" t="s">
        <v>530</v>
      </c>
      <c r="J354" s="78">
        <f>G370</f>
        <v>3829.3173926249924</v>
      </c>
      <c r="K354" s="78">
        <f>H370</f>
        <v>2901.2201535843533</v>
      </c>
      <c r="L354" s="9">
        <v>2824</v>
      </c>
    </row>
    <row r="355" spans="1:12" x14ac:dyDescent="0.2">
      <c r="A355" s="52"/>
      <c r="C355" s="5" t="s">
        <v>531</v>
      </c>
      <c r="J355" s="78">
        <f>(G371+G388+G404)/3</f>
        <v>4760.0542588880116</v>
      </c>
      <c r="K355" s="78">
        <f>(H371+H388+H404)/3</f>
        <v>3606.3778298027723</v>
      </c>
      <c r="L355" s="9">
        <v>4946</v>
      </c>
    </row>
    <row r="356" spans="1:12" x14ac:dyDescent="0.2">
      <c r="A356" s="52"/>
      <c r="C356" s="5" t="s">
        <v>532</v>
      </c>
      <c r="J356" s="78">
        <f>(G372+G389+G405)/3</f>
        <v>6860.8603284531118</v>
      </c>
      <c r="K356" s="78">
        <f t="shared" ref="K356:K363" si="22">(H372+H389+H405)/3</f>
        <v>5198.0194418386336</v>
      </c>
      <c r="L356" s="9">
        <v>6001</v>
      </c>
    </row>
    <row r="357" spans="1:12" x14ac:dyDescent="0.2">
      <c r="A357" s="52"/>
      <c r="C357" s="5" t="s">
        <v>533</v>
      </c>
      <c r="J357" s="78">
        <f>(G373+G406)/2</f>
        <v>9054.7400846445125</v>
      </c>
      <c r="K357" s="78">
        <f>(H373+H406)/2</f>
        <v>6860.1768214963349</v>
      </c>
      <c r="L357" s="9">
        <v>8472</v>
      </c>
    </row>
    <row r="358" spans="1:12" x14ac:dyDescent="0.2">
      <c r="A358" s="52"/>
      <c r="C358" s="36" t="s">
        <v>534</v>
      </c>
      <c r="D358" s="1"/>
      <c r="E358" s="1"/>
      <c r="F358" s="1"/>
      <c r="G358" s="1"/>
      <c r="H358" s="1"/>
      <c r="I358" s="1"/>
      <c r="J358" s="107">
        <f>(G374+G391+G407)/3</f>
        <v>9626.4784453489392</v>
      </c>
      <c r="K358" s="107">
        <f t="shared" si="22"/>
        <v>7293.3451083162217</v>
      </c>
      <c r="L358" s="3">
        <v>9884</v>
      </c>
    </row>
    <row r="359" spans="1:12" x14ac:dyDescent="0.2">
      <c r="A359" s="52"/>
      <c r="C359" s="5" t="s">
        <v>535</v>
      </c>
      <c r="J359" s="108">
        <f>(G375+G392+G408)/3</f>
        <v>10128.73172517041</v>
      </c>
      <c r="K359" s="78">
        <f t="shared" si="22"/>
        <v>9751.3232939918544</v>
      </c>
      <c r="L359" s="9">
        <v>12355</v>
      </c>
    </row>
    <row r="360" spans="1:12" x14ac:dyDescent="0.2">
      <c r="A360" s="52"/>
      <c r="C360" s="5" t="s">
        <v>536</v>
      </c>
      <c r="J360" s="78">
        <f>(G376+G393+G409)/3</f>
        <v>13478.63126946489</v>
      </c>
      <c r="K360" s="78">
        <f t="shared" si="22"/>
        <v>13095.785415484926</v>
      </c>
      <c r="L360" s="9">
        <v>15885</v>
      </c>
    </row>
    <row r="361" spans="1:12" x14ac:dyDescent="0.2">
      <c r="A361" s="52"/>
      <c r="C361" s="36" t="s">
        <v>537</v>
      </c>
      <c r="D361" s="1"/>
      <c r="E361" s="1"/>
      <c r="F361" s="1"/>
      <c r="G361" s="1"/>
      <c r="H361" s="1"/>
      <c r="I361" s="1"/>
      <c r="J361" s="107">
        <f>G410</f>
        <v>13123.802024991477</v>
      </c>
      <c r="K361" s="107">
        <f>H410</f>
        <v>14626.984940987781</v>
      </c>
      <c r="L361" s="3">
        <v>17297</v>
      </c>
    </row>
    <row r="362" spans="1:12" x14ac:dyDescent="0.2">
      <c r="A362" s="52"/>
      <c r="C362" s="5" t="s">
        <v>538</v>
      </c>
      <c r="J362" s="78">
        <f>(G378+G395+G411)/3</f>
        <v>20037.691238885422</v>
      </c>
      <c r="K362" s="78">
        <f t="shared" si="22"/>
        <v>18011.741786836192</v>
      </c>
      <c r="L362" s="9">
        <v>20121</v>
      </c>
    </row>
    <row r="363" spans="1:12" x14ac:dyDescent="0.2">
      <c r="A363" s="52"/>
      <c r="C363" s="5" t="s">
        <v>539</v>
      </c>
      <c r="J363" s="78">
        <f>(G379+G396+G412)/3</f>
        <v>23668.682268750563</v>
      </c>
      <c r="K363" s="78">
        <f t="shared" si="22"/>
        <v>21275.614459618588</v>
      </c>
      <c r="L363" s="9">
        <v>22239</v>
      </c>
    </row>
    <row r="364" spans="1:12" x14ac:dyDescent="0.2">
      <c r="A364" s="52"/>
      <c r="C364" s="5" t="s">
        <v>540</v>
      </c>
      <c r="J364" s="78">
        <f>(G380+G413)/2</f>
        <v>25013.493761293212</v>
      </c>
      <c r="K364" s="78">
        <f>(H380+H413)/2</f>
        <v>22484.456190278735</v>
      </c>
      <c r="L364" s="9">
        <v>23298</v>
      </c>
    </row>
    <row r="365" spans="1:12" x14ac:dyDescent="0.2">
      <c r="A365" s="52"/>
      <c r="C365" s="5" t="s">
        <v>541</v>
      </c>
      <c r="J365" s="78">
        <f>(G381+G414)/2</f>
        <v>28308.281918022694</v>
      </c>
      <c r="K365" s="78">
        <f>(H381+H414)/2</f>
        <v>25446.118430396098</v>
      </c>
      <c r="L365" s="9">
        <v>26828</v>
      </c>
    </row>
    <row r="366" spans="1:12" x14ac:dyDescent="0.2">
      <c r="A366" s="52"/>
      <c r="C366" s="5" t="s">
        <v>466</v>
      </c>
      <c r="K366" s="78"/>
      <c r="L366" s="9">
        <v>14120</v>
      </c>
    </row>
    <row r="367" spans="1:12" x14ac:dyDescent="0.2">
      <c r="A367" s="52"/>
      <c r="C367" s="5"/>
      <c r="K367" s="78"/>
      <c r="L367" s="9"/>
    </row>
    <row r="368" spans="1:12" x14ac:dyDescent="0.2">
      <c r="A368" s="52"/>
      <c r="C368" s="117" t="s">
        <v>528</v>
      </c>
      <c r="D368" s="47"/>
      <c r="E368" s="100" t="s">
        <v>451</v>
      </c>
      <c r="F368" s="100" t="s">
        <v>467</v>
      </c>
      <c r="G368" s="100" t="s">
        <v>468</v>
      </c>
      <c r="H368" s="100" t="s">
        <v>468</v>
      </c>
      <c r="I368" s="47"/>
      <c r="J368" s="47"/>
      <c r="K368" s="78"/>
      <c r="L368" s="9"/>
    </row>
    <row r="369" spans="1:12" x14ac:dyDescent="0.2">
      <c r="A369" s="52"/>
      <c r="C369" s="90" t="s">
        <v>469</v>
      </c>
      <c r="D369" s="92"/>
      <c r="E369" s="92"/>
      <c r="F369" s="92"/>
      <c r="G369" s="91" t="s">
        <v>463</v>
      </c>
      <c r="H369" s="91" t="s">
        <v>464</v>
      </c>
      <c r="I369" s="92"/>
      <c r="J369" s="92"/>
      <c r="K369" s="78"/>
      <c r="L369" s="9"/>
    </row>
    <row r="370" spans="1:12" x14ac:dyDescent="0.2">
      <c r="A370" s="52"/>
      <c r="C370" s="5" t="s">
        <v>530</v>
      </c>
      <c r="E370">
        <v>480</v>
      </c>
      <c r="F370">
        <v>30</v>
      </c>
      <c r="G370" s="78">
        <f t="shared" ref="G370:G376" si="23">$H$468*E370</f>
        <v>3829.3173926249924</v>
      </c>
      <c r="H370" s="78">
        <f>$H$465*E370</f>
        <v>2901.2201535843533</v>
      </c>
      <c r="K370" s="78"/>
      <c r="L370" s="9"/>
    </row>
    <row r="371" spans="1:12" x14ac:dyDescent="0.2">
      <c r="A371" s="52"/>
      <c r="C371" s="5" t="s">
        <v>531</v>
      </c>
      <c r="E371">
        <v>560</v>
      </c>
      <c r="F371">
        <v>50</v>
      </c>
      <c r="G371" s="78">
        <f t="shared" si="23"/>
        <v>4467.5369580624911</v>
      </c>
      <c r="H371" s="78">
        <f t="shared" ref="H371:H381" si="24">$H$465*E371</f>
        <v>3384.756845848412</v>
      </c>
      <c r="K371" s="78"/>
      <c r="L371" s="9"/>
    </row>
    <row r="372" spans="1:12" x14ac:dyDescent="0.2">
      <c r="A372" s="52"/>
      <c r="C372" s="5" t="s">
        <v>532</v>
      </c>
      <c r="E372">
        <v>850</v>
      </c>
      <c r="F372">
        <v>100</v>
      </c>
      <c r="G372" s="78">
        <f t="shared" si="23"/>
        <v>6781.082882773424</v>
      </c>
      <c r="H372" s="78">
        <f t="shared" si="24"/>
        <v>5137.5773553056251</v>
      </c>
      <c r="K372" s="78"/>
      <c r="L372" s="9"/>
    </row>
    <row r="373" spans="1:12" x14ac:dyDescent="0.2">
      <c r="A373" s="52"/>
      <c r="C373" s="5" t="s">
        <v>533</v>
      </c>
      <c r="E373">
        <v>1310</v>
      </c>
      <c r="F373">
        <v>150</v>
      </c>
      <c r="G373" s="78">
        <f t="shared" si="23"/>
        <v>10450.845384039041</v>
      </c>
      <c r="H373" s="78">
        <f t="shared" si="24"/>
        <v>7917.9133358239633</v>
      </c>
      <c r="K373" s="78"/>
      <c r="L373" s="9"/>
    </row>
    <row r="374" spans="1:12" x14ac:dyDescent="0.2">
      <c r="A374" s="52"/>
      <c r="C374" s="36" t="s">
        <v>534</v>
      </c>
      <c r="D374" s="1"/>
      <c r="E374" s="1">
        <v>1290</v>
      </c>
      <c r="F374" s="1">
        <v>200</v>
      </c>
      <c r="G374" s="107">
        <f t="shared" si="23"/>
        <v>10291.290492679667</v>
      </c>
      <c r="H374" s="107">
        <f t="shared" si="24"/>
        <v>7797.0291627579491</v>
      </c>
      <c r="I374" s="1"/>
      <c r="J374" s="1"/>
      <c r="K374" s="78"/>
      <c r="L374" s="9"/>
    </row>
    <row r="375" spans="1:12" x14ac:dyDescent="0.2">
      <c r="A375" s="52"/>
      <c r="C375" s="5" t="s">
        <v>535</v>
      </c>
      <c r="E375">
        <v>1620</v>
      </c>
      <c r="F375">
        <v>315</v>
      </c>
      <c r="G375" s="78">
        <f t="shared" si="23"/>
        <v>12923.946200109349</v>
      </c>
      <c r="H375" s="78">
        <f t="shared" si="24"/>
        <v>9791.6180183471915</v>
      </c>
      <c r="K375" s="78"/>
      <c r="L375" s="9"/>
    </row>
    <row r="376" spans="1:12" x14ac:dyDescent="0.2">
      <c r="A376" s="52"/>
      <c r="C376" s="5" t="s">
        <v>536</v>
      </c>
      <c r="E376">
        <v>2030</v>
      </c>
      <c r="F376">
        <v>500</v>
      </c>
      <c r="G376" s="78">
        <f t="shared" si="23"/>
        <v>16194.82147297653</v>
      </c>
      <c r="H376" s="78">
        <f t="shared" si="24"/>
        <v>12269.743566200494</v>
      </c>
      <c r="K376" s="78"/>
      <c r="L376" s="9"/>
    </row>
    <row r="377" spans="1:12" x14ac:dyDescent="0.2">
      <c r="A377" s="52"/>
      <c r="C377" s="36" t="s">
        <v>537</v>
      </c>
      <c r="D377" s="1"/>
      <c r="E377" s="1"/>
      <c r="F377" s="1"/>
      <c r="G377" s="1"/>
      <c r="H377" s="107"/>
      <c r="I377" s="1"/>
      <c r="J377" s="1"/>
      <c r="K377" s="78"/>
      <c r="L377" s="9"/>
    </row>
    <row r="378" spans="1:12" x14ac:dyDescent="0.2">
      <c r="A378" s="52"/>
      <c r="C378" s="5" t="s">
        <v>538</v>
      </c>
      <c r="E378">
        <v>2780</v>
      </c>
      <c r="F378">
        <v>800</v>
      </c>
      <c r="G378" s="78">
        <f>$H$470*E378</f>
        <v>18692.879746342776</v>
      </c>
      <c r="H378" s="78">
        <f t="shared" si="24"/>
        <v>16802.900056176044</v>
      </c>
      <c r="K378" s="78"/>
      <c r="L378" s="9"/>
    </row>
    <row r="379" spans="1:12" x14ac:dyDescent="0.2">
      <c r="A379" s="52"/>
      <c r="C379" s="5" t="s">
        <v>539</v>
      </c>
      <c r="E379">
        <v>3370</v>
      </c>
      <c r="F379">
        <v>1000</v>
      </c>
      <c r="G379" s="78">
        <f t="shared" ref="G379:G381" si="25">$H$470*E379</f>
        <v>22660.07364934358</v>
      </c>
      <c r="H379" s="78">
        <f t="shared" si="24"/>
        <v>20368.983161623481</v>
      </c>
      <c r="K379" s="78"/>
      <c r="L379" s="9"/>
    </row>
    <row r="380" spans="1:12" x14ac:dyDescent="0.2">
      <c r="A380" s="52"/>
      <c r="C380" s="5" t="s">
        <v>540</v>
      </c>
      <c r="E380">
        <v>3410</v>
      </c>
      <c r="F380">
        <v>1250</v>
      </c>
      <c r="G380" s="78">
        <f t="shared" si="25"/>
        <v>22929.03594785211</v>
      </c>
      <c r="H380" s="78">
        <f t="shared" si="24"/>
        <v>20610.751507755507</v>
      </c>
      <c r="K380" s="78"/>
      <c r="L380" s="9"/>
    </row>
    <row r="381" spans="1:12" x14ac:dyDescent="0.2">
      <c r="A381" s="52"/>
      <c r="C381" s="5" t="s">
        <v>541</v>
      </c>
      <c r="E381">
        <v>3980</v>
      </c>
      <c r="F381">
        <v>1600</v>
      </c>
      <c r="G381" s="78">
        <f t="shared" si="25"/>
        <v>26761.748701598652</v>
      </c>
      <c r="H381" s="78">
        <f t="shared" si="24"/>
        <v>24055.950440136927</v>
      </c>
      <c r="K381" s="78"/>
      <c r="L381" s="9"/>
    </row>
    <row r="382" spans="1:12" x14ac:dyDescent="0.2">
      <c r="A382" s="52"/>
      <c r="C382" s="5"/>
      <c r="K382" s="78"/>
      <c r="L382" s="9"/>
    </row>
    <row r="383" spans="1:12" x14ac:dyDescent="0.2">
      <c r="A383" s="52"/>
      <c r="C383" s="5"/>
      <c r="K383" s="78"/>
      <c r="L383" s="9"/>
    </row>
    <row r="384" spans="1:12" x14ac:dyDescent="0.2">
      <c r="A384" s="52"/>
      <c r="C384" s="5"/>
      <c r="L384" s="9"/>
    </row>
    <row r="385" spans="1:12" x14ac:dyDescent="0.2">
      <c r="A385" s="52"/>
      <c r="C385" s="5"/>
      <c r="L385" s="9"/>
    </row>
    <row r="386" spans="1:12" x14ac:dyDescent="0.2">
      <c r="A386" s="52"/>
      <c r="C386" s="117" t="s">
        <v>528</v>
      </c>
      <c r="D386" s="47"/>
      <c r="E386" s="100" t="s">
        <v>451</v>
      </c>
      <c r="F386" s="100" t="s">
        <v>467</v>
      </c>
      <c r="G386" s="100" t="s">
        <v>468</v>
      </c>
      <c r="H386" s="100" t="s">
        <v>468</v>
      </c>
      <c r="I386" s="47"/>
      <c r="J386" s="47"/>
      <c r="L386" s="9"/>
    </row>
    <row r="387" spans="1:12" x14ac:dyDescent="0.2">
      <c r="A387" s="52"/>
      <c r="C387" s="90" t="s">
        <v>470</v>
      </c>
      <c r="D387" s="92"/>
      <c r="E387" s="92"/>
      <c r="F387" s="92"/>
      <c r="G387" s="91" t="s">
        <v>463</v>
      </c>
      <c r="H387" s="91" t="s">
        <v>464</v>
      </c>
      <c r="I387" s="92"/>
      <c r="J387" s="92"/>
      <c r="L387" s="9"/>
    </row>
    <row r="388" spans="1:12" x14ac:dyDescent="0.2">
      <c r="A388" s="52"/>
      <c r="C388" s="5" t="s">
        <v>531</v>
      </c>
      <c r="E388">
        <v>650</v>
      </c>
      <c r="F388">
        <v>50</v>
      </c>
      <c r="G388" s="78">
        <f>$H$468*E388</f>
        <v>5185.5339691796771</v>
      </c>
      <c r="H388" s="78">
        <f>$H$465*E388</f>
        <v>3928.7356246454783</v>
      </c>
      <c r="L388" s="9"/>
    </row>
    <row r="389" spans="1:12" x14ac:dyDescent="0.2">
      <c r="A389" s="52"/>
      <c r="C389" s="5" t="s">
        <v>532</v>
      </c>
      <c r="E389">
        <v>860</v>
      </c>
      <c r="F389">
        <v>100</v>
      </c>
      <c r="G389" s="78">
        <f>$H$468*E389</f>
        <v>6860.8603284531109</v>
      </c>
      <c r="H389" s="78">
        <f>$H$465*E389</f>
        <v>5198.0194418386327</v>
      </c>
      <c r="L389" s="9"/>
    </row>
    <row r="390" spans="1:12" x14ac:dyDescent="0.2">
      <c r="A390" s="52"/>
      <c r="C390" s="5" t="s">
        <v>533</v>
      </c>
      <c r="G390" s="78"/>
      <c r="H390" s="78"/>
      <c r="L390" s="9"/>
    </row>
    <row r="391" spans="1:12" x14ac:dyDescent="0.2">
      <c r="A391" s="52"/>
      <c r="C391" s="36" t="s">
        <v>534</v>
      </c>
      <c r="D391" s="1"/>
      <c r="E391" s="1">
        <v>1210</v>
      </c>
      <c r="F391" s="1">
        <v>200</v>
      </c>
      <c r="G391" s="107">
        <f>$H$468*E391</f>
        <v>9653.0709272421682</v>
      </c>
      <c r="H391" s="107">
        <f>$H$465*E391</f>
        <v>7313.4924704938903</v>
      </c>
      <c r="I391" s="1"/>
      <c r="J391" s="1"/>
      <c r="L391" s="9"/>
    </row>
    <row r="392" spans="1:12" x14ac:dyDescent="0.2">
      <c r="A392" s="52"/>
      <c r="C392" s="5" t="s">
        <v>535</v>
      </c>
      <c r="E392">
        <v>1650</v>
      </c>
      <c r="F392">
        <v>315</v>
      </c>
      <c r="G392" s="78">
        <f>$H$469*E392</f>
        <v>8948.0468352214612</v>
      </c>
      <c r="H392" s="78">
        <f>$H$465*E392</f>
        <v>9972.9442779462133</v>
      </c>
      <c r="L392" s="9"/>
    </row>
    <row r="393" spans="1:12" x14ac:dyDescent="0.2">
      <c r="A393" s="52"/>
      <c r="C393" s="5" t="s">
        <v>536</v>
      </c>
      <c r="E393">
        <v>2310</v>
      </c>
      <c r="F393">
        <v>500</v>
      </c>
      <c r="G393" s="78">
        <f>$H$469*E393</f>
        <v>12527.265569310046</v>
      </c>
      <c r="H393" s="78">
        <f>$H$465*E393</f>
        <v>13962.121989124698</v>
      </c>
      <c r="L393" s="9"/>
    </row>
    <row r="394" spans="1:12" x14ac:dyDescent="0.2">
      <c r="A394" s="52"/>
      <c r="C394" s="36" t="s">
        <v>537</v>
      </c>
      <c r="D394" s="1"/>
      <c r="E394" s="1"/>
      <c r="F394" s="1"/>
      <c r="G394" s="1"/>
      <c r="H394" s="107"/>
      <c r="I394" s="1"/>
      <c r="J394" s="1"/>
      <c r="L394" s="9"/>
    </row>
    <row r="395" spans="1:12" x14ac:dyDescent="0.2">
      <c r="A395" s="52"/>
      <c r="C395" s="5" t="s">
        <v>538</v>
      </c>
      <c r="E395">
        <v>3010</v>
      </c>
      <c r="F395">
        <v>800</v>
      </c>
      <c r="G395" s="78">
        <f>$H$470*E395</f>
        <v>20239.412962766819</v>
      </c>
      <c r="H395" s="78">
        <f>$H$465*E395</f>
        <v>18193.068046435215</v>
      </c>
      <c r="L395" s="9"/>
    </row>
    <row r="396" spans="1:12" x14ac:dyDescent="0.2">
      <c r="A396" s="52"/>
      <c r="C396" s="5" t="s">
        <v>539</v>
      </c>
      <c r="E396">
        <v>3380</v>
      </c>
      <c r="F396">
        <v>1000</v>
      </c>
      <c r="G396" s="78">
        <f>$H$470*E396</f>
        <v>22727.314223970712</v>
      </c>
      <c r="H396" s="78">
        <f>$H$465*E396</f>
        <v>20429.425248156487</v>
      </c>
      <c r="L396" s="9"/>
    </row>
    <row r="397" spans="1:12" x14ac:dyDescent="0.2">
      <c r="A397" s="52"/>
      <c r="C397" s="5" t="s">
        <v>540</v>
      </c>
      <c r="L397" s="9"/>
    </row>
    <row r="398" spans="1:12" x14ac:dyDescent="0.2">
      <c r="A398" s="52"/>
      <c r="C398" s="5" t="s">
        <v>541</v>
      </c>
      <c r="L398" s="9"/>
    </row>
    <row r="399" spans="1:12" x14ac:dyDescent="0.2">
      <c r="A399" s="52"/>
      <c r="C399" s="5"/>
      <c r="L399" s="9"/>
    </row>
    <row r="400" spans="1:12" x14ac:dyDescent="0.2">
      <c r="A400" s="52"/>
      <c r="C400" s="5"/>
      <c r="L400" s="9"/>
    </row>
    <row r="401" spans="1:12" x14ac:dyDescent="0.2">
      <c r="A401" s="52"/>
      <c r="C401" s="5"/>
      <c r="L401" s="9"/>
    </row>
    <row r="402" spans="1:12" x14ac:dyDescent="0.2">
      <c r="A402" s="52"/>
      <c r="C402" s="117" t="s">
        <v>528</v>
      </c>
      <c r="D402" s="47"/>
      <c r="E402" s="100" t="s">
        <v>451</v>
      </c>
      <c r="F402" s="100" t="s">
        <v>467</v>
      </c>
      <c r="G402" s="100" t="s">
        <v>468</v>
      </c>
      <c r="H402" s="100" t="s">
        <v>468</v>
      </c>
      <c r="I402" s="47"/>
      <c r="J402" s="47"/>
      <c r="L402" s="9"/>
    </row>
    <row r="403" spans="1:12" x14ac:dyDescent="0.2">
      <c r="A403" s="52"/>
      <c r="C403" s="118" t="s">
        <v>471</v>
      </c>
      <c r="D403" s="92"/>
      <c r="E403" s="91"/>
      <c r="F403" s="91"/>
      <c r="G403" s="91" t="s">
        <v>463</v>
      </c>
      <c r="H403" s="91" t="s">
        <v>464</v>
      </c>
      <c r="I403" s="92"/>
      <c r="J403" s="92"/>
      <c r="L403" s="9"/>
    </row>
    <row r="404" spans="1:12" x14ac:dyDescent="0.2">
      <c r="A404" s="52"/>
      <c r="C404" s="5" t="s">
        <v>531</v>
      </c>
      <c r="E404">
        <v>580</v>
      </c>
      <c r="F404">
        <v>50</v>
      </c>
      <c r="G404" s="78">
        <f>$H$468*E404</f>
        <v>4627.0918494218658</v>
      </c>
      <c r="H404" s="78">
        <f>$H$465*E404</f>
        <v>3505.6410189144267</v>
      </c>
      <c r="L404" s="9"/>
    </row>
    <row r="405" spans="1:12" x14ac:dyDescent="0.2">
      <c r="A405" s="52"/>
      <c r="C405" s="5" t="s">
        <v>532</v>
      </c>
      <c r="E405">
        <v>870</v>
      </c>
      <c r="F405">
        <v>100</v>
      </c>
      <c r="G405" s="78">
        <f t="shared" ref="G405:G407" si="26">$H$468*E405</f>
        <v>6940.6377741327988</v>
      </c>
      <c r="H405" s="78">
        <f t="shared" ref="H405:H415" si="27">$H$465*E405</f>
        <v>5258.4615283716403</v>
      </c>
      <c r="L405" s="9"/>
    </row>
    <row r="406" spans="1:12" x14ac:dyDescent="0.2">
      <c r="A406" s="52"/>
      <c r="C406" s="5" t="s">
        <v>533</v>
      </c>
      <c r="E406">
        <v>960</v>
      </c>
      <c r="F406">
        <v>160</v>
      </c>
      <c r="G406" s="78">
        <f t="shared" si="26"/>
        <v>7658.6347852499848</v>
      </c>
      <c r="H406" s="78">
        <f t="shared" si="27"/>
        <v>5802.4403071687066</v>
      </c>
      <c r="L406" s="9"/>
    </row>
    <row r="407" spans="1:12" x14ac:dyDescent="0.2">
      <c r="A407" s="52"/>
      <c r="C407" s="36" t="s">
        <v>534</v>
      </c>
      <c r="D407" s="1"/>
      <c r="E407" s="1">
        <v>1120</v>
      </c>
      <c r="F407" s="1">
        <v>200</v>
      </c>
      <c r="G407" s="107">
        <f t="shared" si="26"/>
        <v>8935.0739161249821</v>
      </c>
      <c r="H407" s="107">
        <f t="shared" si="27"/>
        <v>6769.513691696824</v>
      </c>
      <c r="I407" s="1"/>
      <c r="J407" s="1"/>
      <c r="L407" s="9"/>
    </row>
    <row r="408" spans="1:12" x14ac:dyDescent="0.2">
      <c r="A408" s="52"/>
      <c r="C408" s="5" t="s">
        <v>535</v>
      </c>
      <c r="E408">
        <v>1570</v>
      </c>
      <c r="F408">
        <v>315</v>
      </c>
      <c r="G408" s="108">
        <f>$H$469*E408</f>
        <v>8514.2021401804213</v>
      </c>
      <c r="H408" s="78">
        <f t="shared" si="27"/>
        <v>9489.4075856821546</v>
      </c>
      <c r="L408" s="9"/>
    </row>
    <row r="409" spans="1:12" x14ac:dyDescent="0.2">
      <c r="A409" s="52"/>
      <c r="C409" s="5" t="s">
        <v>536</v>
      </c>
      <c r="E409">
        <v>2160</v>
      </c>
      <c r="F409">
        <v>500</v>
      </c>
      <c r="G409" s="78">
        <f t="shared" ref="G409:G410" si="28">$H$469*E409</f>
        <v>11713.806766108095</v>
      </c>
      <c r="H409" s="78">
        <f t="shared" si="27"/>
        <v>13055.490691129589</v>
      </c>
      <c r="L409" s="9"/>
    </row>
    <row r="410" spans="1:12" x14ac:dyDescent="0.2">
      <c r="A410" s="52"/>
      <c r="C410" s="36" t="s">
        <v>537</v>
      </c>
      <c r="D410" s="1"/>
      <c r="E410" s="1">
        <v>2420</v>
      </c>
      <c r="F410" s="1">
        <v>630</v>
      </c>
      <c r="G410" s="107">
        <f t="shared" si="28"/>
        <v>13123.802024991477</v>
      </c>
      <c r="H410" s="107">
        <f t="shared" si="27"/>
        <v>14626.984940987781</v>
      </c>
      <c r="I410" s="1"/>
      <c r="J410" s="1"/>
      <c r="L410" s="9"/>
    </row>
    <row r="411" spans="1:12" x14ac:dyDescent="0.2">
      <c r="A411" s="52"/>
      <c r="C411" s="5" t="s">
        <v>538</v>
      </c>
      <c r="E411">
        <v>3150</v>
      </c>
      <c r="F411">
        <v>800</v>
      </c>
      <c r="G411" s="78">
        <f>$H$470*E411</f>
        <v>21180.78100754667</v>
      </c>
      <c r="H411" s="78">
        <f t="shared" si="27"/>
        <v>19039.257257897316</v>
      </c>
      <c r="L411" s="9"/>
    </row>
    <row r="412" spans="1:12" x14ac:dyDescent="0.2">
      <c r="A412" s="52"/>
      <c r="C412" s="5" t="s">
        <v>539</v>
      </c>
      <c r="E412">
        <v>3810</v>
      </c>
      <c r="F412">
        <v>1000</v>
      </c>
      <c r="G412" s="78">
        <f t="shared" ref="G412:G415" si="29">$H$470*E412</f>
        <v>25618.6589329374</v>
      </c>
      <c r="H412" s="78">
        <f t="shared" si="27"/>
        <v>23028.434969075803</v>
      </c>
      <c r="L412" s="9"/>
    </row>
    <row r="413" spans="1:12" x14ac:dyDescent="0.2">
      <c r="A413" s="52"/>
      <c r="C413" s="5" t="s">
        <v>540</v>
      </c>
      <c r="E413">
        <v>4030</v>
      </c>
      <c r="F413">
        <v>1250</v>
      </c>
      <c r="G413" s="78">
        <f t="shared" si="29"/>
        <v>27097.95157473431</v>
      </c>
      <c r="H413" s="78">
        <f t="shared" si="27"/>
        <v>24358.160872801964</v>
      </c>
      <c r="L413" s="9"/>
    </row>
    <row r="414" spans="1:12" x14ac:dyDescent="0.2">
      <c r="A414" s="52"/>
      <c r="C414" s="5" t="s">
        <v>541</v>
      </c>
      <c r="E414">
        <v>4440</v>
      </c>
      <c r="F414">
        <v>1600</v>
      </c>
      <c r="G414" s="78">
        <f t="shared" si="29"/>
        <v>29854.815134446737</v>
      </c>
      <c r="H414" s="78">
        <f t="shared" si="27"/>
        <v>26836.286420655266</v>
      </c>
      <c r="L414" s="9"/>
    </row>
    <row r="415" spans="1:12" x14ac:dyDescent="0.2">
      <c r="A415" s="52"/>
      <c r="C415" s="5" t="s">
        <v>466</v>
      </c>
      <c r="E415">
        <v>1790</v>
      </c>
      <c r="F415">
        <v>400</v>
      </c>
      <c r="G415" s="78">
        <f t="shared" si="29"/>
        <v>12036.062858256679</v>
      </c>
      <c r="H415" s="78">
        <f t="shared" si="27"/>
        <v>10819.133489408317</v>
      </c>
      <c r="L415" s="9"/>
    </row>
    <row r="416" spans="1:12" x14ac:dyDescent="0.2">
      <c r="A416" s="52"/>
      <c r="C416" s="5"/>
      <c r="L416" s="9"/>
    </row>
    <row r="417" spans="1:12" x14ac:dyDescent="0.2">
      <c r="A417" s="52"/>
      <c r="C417" s="119" t="s">
        <v>472</v>
      </c>
      <c r="D417" s="120"/>
      <c r="E417" s="120"/>
      <c r="F417" s="120"/>
      <c r="G417" s="120"/>
      <c r="H417" s="120"/>
      <c r="I417" s="120"/>
      <c r="J417" s="120"/>
      <c r="L417" s="9"/>
    </row>
    <row r="418" spans="1:12" x14ac:dyDescent="0.2">
      <c r="A418" s="52"/>
      <c r="C418" s="117" t="s">
        <v>528</v>
      </c>
      <c r="D418" s="47"/>
      <c r="E418" s="100" t="s">
        <v>451</v>
      </c>
      <c r="F418" s="100" t="s">
        <v>467</v>
      </c>
      <c r="G418" s="100" t="s">
        <v>468</v>
      </c>
      <c r="H418" s="47" t="s">
        <v>473</v>
      </c>
      <c r="I418" s="47"/>
      <c r="J418" s="47"/>
      <c r="L418" s="9"/>
    </row>
    <row r="419" spans="1:12" x14ac:dyDescent="0.2">
      <c r="A419" s="52"/>
      <c r="C419" s="90" t="s">
        <v>474</v>
      </c>
      <c r="D419" s="92"/>
      <c r="E419" s="92"/>
      <c r="F419" s="92"/>
      <c r="G419" s="92"/>
      <c r="H419" s="92"/>
      <c r="I419" s="92"/>
      <c r="J419" s="92"/>
      <c r="L419" s="9"/>
    </row>
    <row r="420" spans="1:12" x14ac:dyDescent="0.2">
      <c r="A420" s="52"/>
      <c r="C420" s="5" t="s">
        <v>531</v>
      </c>
      <c r="E420">
        <v>370</v>
      </c>
      <c r="F420">
        <v>50</v>
      </c>
      <c r="G420" s="78">
        <f>$H$468*E420</f>
        <v>2951.7654901484316</v>
      </c>
      <c r="H420" s="78">
        <f>$I$468*F420</f>
        <v>4628.770833333333</v>
      </c>
      <c r="L420" s="9"/>
    </row>
    <row r="421" spans="1:12" x14ac:dyDescent="0.2">
      <c r="A421" s="52"/>
      <c r="C421" s="5" t="s">
        <v>532</v>
      </c>
      <c r="E421">
        <v>530</v>
      </c>
      <c r="F421">
        <v>100</v>
      </c>
      <c r="G421" s="78">
        <f t="shared" ref="G421:G423" si="30">$H$468*E421</f>
        <v>4228.2046210234284</v>
      </c>
      <c r="H421" s="78">
        <f t="shared" ref="H421:H423" si="31">$I$468*F421</f>
        <v>9257.5416666666661</v>
      </c>
      <c r="L421" s="9"/>
    </row>
    <row r="422" spans="1:12" x14ac:dyDescent="0.2">
      <c r="A422" s="52"/>
      <c r="C422" s="5" t="s">
        <v>533</v>
      </c>
      <c r="E422">
        <v>730</v>
      </c>
      <c r="F422">
        <v>160</v>
      </c>
      <c r="G422" s="78">
        <f t="shared" si="30"/>
        <v>5823.7535346171753</v>
      </c>
      <c r="H422" s="78">
        <f t="shared" si="31"/>
        <v>14812.066666666668</v>
      </c>
      <c r="L422" s="9"/>
    </row>
    <row r="423" spans="1:12" x14ac:dyDescent="0.2">
      <c r="A423" s="52"/>
      <c r="C423" s="36" t="s">
        <v>534</v>
      </c>
      <c r="D423" s="1"/>
      <c r="E423" s="1">
        <v>790</v>
      </c>
      <c r="F423" s="1">
        <v>200</v>
      </c>
      <c r="G423" s="107">
        <f t="shared" si="30"/>
        <v>6302.4182086952997</v>
      </c>
      <c r="H423" s="107">
        <f t="shared" si="31"/>
        <v>18515.083333333332</v>
      </c>
      <c r="I423" s="1"/>
      <c r="J423" s="1"/>
      <c r="L423" s="9"/>
    </row>
    <row r="424" spans="1:12" x14ac:dyDescent="0.2">
      <c r="A424" s="52"/>
      <c r="C424" s="5" t="s">
        <v>535</v>
      </c>
      <c r="E424">
        <v>1020</v>
      </c>
      <c r="F424">
        <v>315</v>
      </c>
      <c r="G424" s="78">
        <f>$H$469*E424</f>
        <v>5531.5198617732667</v>
      </c>
      <c r="H424" s="108">
        <f>$I$469*F424</f>
        <v>7620.5383970588236</v>
      </c>
      <c r="L424" s="9"/>
    </row>
    <row r="425" spans="1:12" x14ac:dyDescent="0.2">
      <c r="A425" s="52"/>
      <c r="C425" s="5" t="s">
        <v>536</v>
      </c>
      <c r="E425">
        <v>1360</v>
      </c>
      <c r="F425">
        <v>500</v>
      </c>
      <c r="G425" s="78">
        <f t="shared" ref="G425:G426" si="32">$H$469*E425</f>
        <v>7375.3598156976896</v>
      </c>
      <c r="H425" s="78">
        <f t="shared" ref="H425:H426" si="33">$I$469*F425</f>
        <v>12096.092693744165</v>
      </c>
      <c r="L425" s="9"/>
    </row>
    <row r="426" spans="1:12" x14ac:dyDescent="0.2">
      <c r="A426" s="52"/>
      <c r="C426" s="36" t="s">
        <v>537</v>
      </c>
      <c r="D426" s="1"/>
      <c r="E426" s="1">
        <v>1680</v>
      </c>
      <c r="F426" s="1">
        <v>630</v>
      </c>
      <c r="G426" s="107">
        <f t="shared" si="32"/>
        <v>9110.7385958618506</v>
      </c>
      <c r="H426" s="107">
        <f t="shared" si="33"/>
        <v>15241.076794117647</v>
      </c>
      <c r="I426" s="1"/>
      <c r="J426" s="1"/>
      <c r="L426" s="9"/>
    </row>
    <row r="427" spans="1:12" x14ac:dyDescent="0.2">
      <c r="A427" s="52"/>
      <c r="C427" s="5" t="s">
        <v>538</v>
      </c>
      <c r="E427">
        <v>1950</v>
      </c>
      <c r="F427">
        <v>800</v>
      </c>
      <c r="G427" s="78">
        <f>$H$470*E427</f>
        <v>13111.912052290796</v>
      </c>
      <c r="H427" s="78">
        <f>$I$470*F427</f>
        <v>18043.537142857142</v>
      </c>
      <c r="L427" s="9"/>
    </row>
    <row r="428" spans="1:12" x14ac:dyDescent="0.2">
      <c r="A428" s="52"/>
      <c r="C428" s="5" t="s">
        <v>539</v>
      </c>
      <c r="E428">
        <v>2290</v>
      </c>
      <c r="F428">
        <v>1000</v>
      </c>
      <c r="G428" s="78">
        <f t="shared" ref="G428:G430" si="34">$H$470*E428</f>
        <v>15398.091589613294</v>
      </c>
      <c r="H428" s="78">
        <f t="shared" ref="H428:H430" si="35">$I$470*F428</f>
        <v>22554.421428571426</v>
      </c>
      <c r="L428" s="9"/>
    </row>
    <row r="429" spans="1:12" x14ac:dyDescent="0.2">
      <c r="A429" s="52"/>
      <c r="C429" s="5" t="s">
        <v>540</v>
      </c>
      <c r="E429">
        <v>3030</v>
      </c>
      <c r="F429">
        <v>1250</v>
      </c>
      <c r="G429" s="78">
        <f t="shared" si="34"/>
        <v>20373.894112021084</v>
      </c>
      <c r="H429" s="78">
        <f t="shared" si="35"/>
        <v>28193.026785714283</v>
      </c>
      <c r="L429" s="9"/>
    </row>
    <row r="430" spans="1:12" x14ac:dyDescent="0.2">
      <c r="A430" s="52"/>
      <c r="C430" s="5" t="s">
        <v>541</v>
      </c>
      <c r="E430">
        <v>3430</v>
      </c>
      <c r="F430">
        <v>1600</v>
      </c>
      <c r="G430" s="78">
        <f t="shared" si="34"/>
        <v>23063.517097106374</v>
      </c>
      <c r="H430" s="78">
        <f t="shared" si="35"/>
        <v>36087.074285714283</v>
      </c>
      <c r="L430" s="9"/>
    </row>
    <row r="431" spans="1:12" x14ac:dyDescent="0.2">
      <c r="A431" s="52"/>
      <c r="C431" s="5"/>
      <c r="L431" s="9"/>
    </row>
    <row r="432" spans="1:12" x14ac:dyDescent="0.2">
      <c r="A432" s="52"/>
      <c r="C432" s="90" t="s">
        <v>475</v>
      </c>
      <c r="D432" s="92"/>
      <c r="E432" s="92"/>
      <c r="F432" s="92"/>
      <c r="G432" s="92"/>
      <c r="H432" s="92"/>
      <c r="I432" s="92"/>
      <c r="J432" s="92"/>
      <c r="K432" s="92"/>
      <c r="L432" s="9"/>
    </row>
    <row r="433" spans="1:12" x14ac:dyDescent="0.2">
      <c r="A433" s="52"/>
      <c r="C433" s="121"/>
      <c r="D433" s="47"/>
      <c r="E433" s="47"/>
      <c r="F433" s="100" t="s">
        <v>467</v>
      </c>
      <c r="G433" s="100" t="s">
        <v>451</v>
      </c>
      <c r="H433" s="100" t="s">
        <v>476</v>
      </c>
      <c r="I433" s="100" t="s">
        <v>477</v>
      </c>
      <c r="J433" s="47"/>
      <c r="K433" s="100" t="s">
        <v>478</v>
      </c>
      <c r="L433" s="9"/>
    </row>
    <row r="434" spans="1:12" x14ac:dyDescent="0.2">
      <c r="A434" s="52"/>
      <c r="C434" s="5" t="s">
        <v>479</v>
      </c>
      <c r="D434" t="s">
        <v>480</v>
      </c>
      <c r="F434">
        <v>400</v>
      </c>
      <c r="G434">
        <v>1600</v>
      </c>
      <c r="H434" s="8">
        <f t="shared" ref="H434:H460" si="36">K434/G434</f>
        <v>4.50875</v>
      </c>
      <c r="I434" s="8">
        <f t="shared" ref="I434:I460" si="37">K434/F434</f>
        <v>18.035</v>
      </c>
      <c r="K434">
        <v>7214</v>
      </c>
      <c r="L434" s="9"/>
    </row>
    <row r="435" spans="1:12" x14ac:dyDescent="0.2">
      <c r="A435" s="52"/>
      <c r="C435" s="5" t="s">
        <v>479</v>
      </c>
      <c r="D435" t="s">
        <v>481</v>
      </c>
      <c r="F435">
        <v>500</v>
      </c>
      <c r="G435">
        <v>2400</v>
      </c>
      <c r="H435" s="8">
        <f t="shared" si="36"/>
        <v>4.1083333333333334</v>
      </c>
      <c r="I435" s="8">
        <f t="shared" si="37"/>
        <v>19.72</v>
      </c>
      <c r="K435">
        <v>9860</v>
      </c>
      <c r="L435" s="9"/>
    </row>
    <row r="436" spans="1:12" x14ac:dyDescent="0.2">
      <c r="A436" s="52"/>
      <c r="C436" s="5" t="s">
        <v>482</v>
      </c>
      <c r="D436" t="s">
        <v>480</v>
      </c>
      <c r="E436" t="s">
        <v>483</v>
      </c>
      <c r="F436">
        <v>400</v>
      </c>
      <c r="G436">
        <v>1700</v>
      </c>
      <c r="H436" s="8">
        <f t="shared" si="36"/>
        <v>5.0229411764705878</v>
      </c>
      <c r="I436" s="8">
        <f t="shared" si="37"/>
        <v>21.3475</v>
      </c>
      <c r="K436">
        <v>8539</v>
      </c>
      <c r="L436" s="9"/>
    </row>
    <row r="437" spans="1:12" x14ac:dyDescent="0.2">
      <c r="A437" s="52"/>
      <c r="C437" s="5" t="s">
        <v>482</v>
      </c>
      <c r="D437" t="s">
        <v>484</v>
      </c>
      <c r="E437" t="s">
        <v>483</v>
      </c>
      <c r="F437">
        <v>630</v>
      </c>
      <c r="G437">
        <v>2400</v>
      </c>
      <c r="H437" s="8">
        <f t="shared" si="36"/>
        <v>4.9454166666666666</v>
      </c>
      <c r="I437" s="8">
        <f t="shared" si="37"/>
        <v>18.839682539682538</v>
      </c>
      <c r="K437">
        <v>11869</v>
      </c>
      <c r="L437" s="9"/>
    </row>
    <row r="438" spans="1:12" x14ac:dyDescent="0.2">
      <c r="A438" s="52"/>
      <c r="C438" s="5" t="s">
        <v>485</v>
      </c>
      <c r="D438" t="s">
        <v>480</v>
      </c>
      <c r="E438" t="s">
        <v>486</v>
      </c>
      <c r="F438">
        <v>400</v>
      </c>
      <c r="G438">
        <v>1865</v>
      </c>
      <c r="H438" s="8">
        <f t="shared" si="36"/>
        <v>5.4691689008042896</v>
      </c>
      <c r="I438" s="8">
        <f t="shared" si="37"/>
        <v>25.5</v>
      </c>
      <c r="K438">
        <v>10200</v>
      </c>
      <c r="L438" s="9"/>
    </row>
    <row r="439" spans="1:12" x14ac:dyDescent="0.2">
      <c r="A439" s="52"/>
      <c r="C439" s="5" t="s">
        <v>485</v>
      </c>
      <c r="D439" t="s">
        <v>484</v>
      </c>
      <c r="E439" t="s">
        <v>486</v>
      </c>
      <c r="F439">
        <v>630</v>
      </c>
      <c r="G439">
        <v>2182</v>
      </c>
      <c r="H439" s="8">
        <f t="shared" si="36"/>
        <v>5.4078826764436299</v>
      </c>
      <c r="I439" s="8">
        <f t="shared" si="37"/>
        <v>18.730158730158731</v>
      </c>
      <c r="K439">
        <v>11800</v>
      </c>
      <c r="L439" s="9"/>
    </row>
    <row r="440" spans="1:12" x14ac:dyDescent="0.2">
      <c r="A440" s="52"/>
      <c r="C440" s="5" t="s">
        <v>487</v>
      </c>
      <c r="D440" t="s">
        <v>488</v>
      </c>
      <c r="E440" t="s">
        <v>483</v>
      </c>
      <c r="F440">
        <v>1000</v>
      </c>
      <c r="G440">
        <v>3425</v>
      </c>
      <c r="H440" s="8">
        <f t="shared" si="36"/>
        <v>6.4145985401459855</v>
      </c>
      <c r="I440" s="8">
        <f t="shared" si="37"/>
        <v>21.97</v>
      </c>
      <c r="K440">
        <v>21970</v>
      </c>
      <c r="L440" s="9"/>
    </row>
    <row r="441" spans="1:12" x14ac:dyDescent="0.2">
      <c r="A441" s="52"/>
      <c r="C441" s="5" t="s">
        <v>487</v>
      </c>
      <c r="D441" t="s">
        <v>484</v>
      </c>
      <c r="E441" t="s">
        <v>483</v>
      </c>
      <c r="F441">
        <v>630</v>
      </c>
      <c r="G441">
        <v>2370</v>
      </c>
      <c r="H441" s="8">
        <f t="shared" si="36"/>
        <v>6.9873417721518987</v>
      </c>
      <c r="I441" s="8">
        <f t="shared" si="37"/>
        <v>26.285714285714285</v>
      </c>
      <c r="K441">
        <v>16560</v>
      </c>
      <c r="L441" s="9"/>
    </row>
    <row r="442" spans="1:12" x14ac:dyDescent="0.2">
      <c r="A442" s="52"/>
      <c r="C442" s="5" t="s">
        <v>487</v>
      </c>
      <c r="D442" t="s">
        <v>480</v>
      </c>
      <c r="E442" t="s">
        <v>483</v>
      </c>
      <c r="F442">
        <v>400</v>
      </c>
      <c r="G442">
        <v>1800</v>
      </c>
      <c r="H442" s="8">
        <f t="shared" si="36"/>
        <v>6.1905555555555551</v>
      </c>
      <c r="I442" s="8">
        <f t="shared" si="37"/>
        <v>27.857500000000002</v>
      </c>
      <c r="K442">
        <v>11143</v>
      </c>
      <c r="L442" s="9"/>
    </row>
    <row r="443" spans="1:12" x14ac:dyDescent="0.2">
      <c r="A443" s="52"/>
      <c r="C443" s="5" t="s">
        <v>487</v>
      </c>
      <c r="D443" t="s">
        <v>489</v>
      </c>
      <c r="E443" t="s">
        <v>483</v>
      </c>
      <c r="F443">
        <v>250</v>
      </c>
      <c r="G443">
        <v>1400</v>
      </c>
      <c r="H443" s="8">
        <f t="shared" si="36"/>
        <v>6.3128571428571432</v>
      </c>
      <c r="I443" s="8">
        <f t="shared" si="37"/>
        <v>35.351999999999997</v>
      </c>
      <c r="K443">
        <v>8838</v>
      </c>
      <c r="L443" s="9"/>
    </row>
    <row r="444" spans="1:12" x14ac:dyDescent="0.2">
      <c r="A444" s="52"/>
      <c r="C444" s="5" t="s">
        <v>490</v>
      </c>
      <c r="D444" t="s">
        <v>491</v>
      </c>
      <c r="E444" t="s">
        <v>483</v>
      </c>
      <c r="F444">
        <v>630</v>
      </c>
      <c r="G444">
        <v>2550</v>
      </c>
      <c r="H444" s="8">
        <f t="shared" si="36"/>
        <v>8.5015686274509807</v>
      </c>
      <c r="I444" s="8">
        <f t="shared" si="37"/>
        <v>34.411111111111111</v>
      </c>
      <c r="K444">
        <v>21679</v>
      </c>
      <c r="L444" s="9"/>
    </row>
    <row r="445" spans="1:12" x14ac:dyDescent="0.2">
      <c r="A445" s="52"/>
      <c r="C445" s="5" t="s">
        <v>490</v>
      </c>
      <c r="D445" t="s">
        <v>492</v>
      </c>
      <c r="E445" t="s">
        <v>483</v>
      </c>
      <c r="F445">
        <v>800</v>
      </c>
      <c r="G445">
        <v>3210</v>
      </c>
      <c r="H445" s="8">
        <f t="shared" si="36"/>
        <v>8.3423676012461065</v>
      </c>
      <c r="I445" s="8">
        <f t="shared" si="37"/>
        <v>33.473750000000003</v>
      </c>
      <c r="K445">
        <v>26779</v>
      </c>
      <c r="L445" s="9"/>
    </row>
    <row r="446" spans="1:12" x14ac:dyDescent="0.2">
      <c r="A446" s="52"/>
      <c r="C446" s="5" t="s">
        <v>490</v>
      </c>
      <c r="D446" t="s">
        <v>493</v>
      </c>
      <c r="E446" t="s">
        <v>483</v>
      </c>
      <c r="F446">
        <v>1000</v>
      </c>
      <c r="G446">
        <v>3500</v>
      </c>
      <c r="H446" s="8">
        <f t="shared" si="36"/>
        <v>8.4797142857142855</v>
      </c>
      <c r="I446" s="8">
        <f t="shared" si="37"/>
        <v>29.678999999999998</v>
      </c>
      <c r="K446">
        <v>29679</v>
      </c>
      <c r="L446" s="9"/>
    </row>
    <row r="447" spans="1:12" x14ac:dyDescent="0.2">
      <c r="A447" s="52"/>
      <c r="C447" s="5" t="s">
        <v>490</v>
      </c>
      <c r="D447" t="s">
        <v>494</v>
      </c>
      <c r="E447" t="s">
        <v>483</v>
      </c>
      <c r="F447">
        <v>1250</v>
      </c>
      <c r="G447">
        <v>3975</v>
      </c>
      <c r="H447" s="8">
        <f t="shared" si="36"/>
        <v>8.1959748427672956</v>
      </c>
      <c r="I447" s="8">
        <f t="shared" si="37"/>
        <v>26.063199999999998</v>
      </c>
      <c r="K447">
        <v>32579</v>
      </c>
      <c r="L447" s="9"/>
    </row>
    <row r="448" spans="1:12" x14ac:dyDescent="0.2">
      <c r="A448" s="52"/>
      <c r="C448" s="5" t="s">
        <v>490</v>
      </c>
      <c r="D448" t="s">
        <v>495</v>
      </c>
      <c r="E448" t="s">
        <v>483</v>
      </c>
      <c r="F448">
        <v>2000</v>
      </c>
      <c r="G448">
        <v>5550</v>
      </c>
      <c r="H448" s="8">
        <f t="shared" si="36"/>
        <v>7.617837837837838</v>
      </c>
      <c r="I448" s="8">
        <f t="shared" si="37"/>
        <v>21.139500000000002</v>
      </c>
      <c r="K448">
        <v>42279</v>
      </c>
      <c r="L448" s="9"/>
    </row>
    <row r="449" spans="1:12" x14ac:dyDescent="0.2">
      <c r="A449" s="52"/>
      <c r="C449" s="5" t="s">
        <v>490</v>
      </c>
      <c r="D449" t="s">
        <v>496</v>
      </c>
      <c r="E449" t="s">
        <v>483</v>
      </c>
      <c r="F449">
        <v>50</v>
      </c>
      <c r="G449">
        <v>900</v>
      </c>
      <c r="H449" s="8">
        <f t="shared" si="36"/>
        <v>8.0655555555555551</v>
      </c>
      <c r="I449" s="8">
        <f t="shared" si="37"/>
        <v>145.18</v>
      </c>
      <c r="K449">
        <v>7259</v>
      </c>
      <c r="L449" s="9"/>
    </row>
    <row r="450" spans="1:12" x14ac:dyDescent="0.2">
      <c r="A450" s="52"/>
      <c r="C450" s="5" t="s">
        <v>490</v>
      </c>
      <c r="D450" t="s">
        <v>497</v>
      </c>
      <c r="E450" t="s">
        <v>483</v>
      </c>
      <c r="F450">
        <v>100</v>
      </c>
      <c r="G450">
        <v>930</v>
      </c>
      <c r="H450" s="8">
        <f t="shared" si="36"/>
        <v>8.0634408602150529</v>
      </c>
      <c r="I450" s="8">
        <f t="shared" si="37"/>
        <v>74.989999999999995</v>
      </c>
      <c r="K450">
        <v>7499</v>
      </c>
      <c r="L450" s="9"/>
    </row>
    <row r="451" spans="1:12" x14ac:dyDescent="0.2">
      <c r="A451" s="52"/>
      <c r="C451" s="5" t="s">
        <v>490</v>
      </c>
      <c r="D451" t="s">
        <v>498</v>
      </c>
      <c r="E451" t="s">
        <v>483</v>
      </c>
      <c r="F451">
        <v>160</v>
      </c>
      <c r="G451">
        <v>1180</v>
      </c>
      <c r="H451" s="8">
        <f t="shared" si="36"/>
        <v>7.8042372881355933</v>
      </c>
      <c r="I451" s="8">
        <f t="shared" si="37"/>
        <v>57.556249999999999</v>
      </c>
      <c r="K451">
        <v>9209</v>
      </c>
      <c r="L451" s="9"/>
    </row>
    <row r="452" spans="1:12" x14ac:dyDescent="0.2">
      <c r="A452" s="52"/>
      <c r="C452" s="5" t="s">
        <v>490</v>
      </c>
      <c r="D452" t="s">
        <v>499</v>
      </c>
      <c r="E452" t="s">
        <v>483</v>
      </c>
      <c r="F452">
        <v>250</v>
      </c>
      <c r="G452">
        <v>1500</v>
      </c>
      <c r="H452" s="8">
        <f t="shared" si="36"/>
        <v>7.9193333333333333</v>
      </c>
      <c r="I452" s="8">
        <f t="shared" si="37"/>
        <v>47.515999999999998</v>
      </c>
      <c r="K452">
        <v>11879</v>
      </c>
      <c r="L452" s="9"/>
    </row>
    <row r="453" spans="1:12" x14ac:dyDescent="0.2">
      <c r="A453" s="52"/>
      <c r="C453" s="5" t="s">
        <v>490</v>
      </c>
      <c r="D453" t="s">
        <v>500</v>
      </c>
      <c r="E453" t="s">
        <v>483</v>
      </c>
      <c r="F453">
        <v>400</v>
      </c>
      <c r="G453">
        <v>2050</v>
      </c>
      <c r="H453" s="8">
        <f t="shared" si="36"/>
        <v>8.0873170731707322</v>
      </c>
      <c r="I453" s="8">
        <f t="shared" si="37"/>
        <v>41.447499999999998</v>
      </c>
      <c r="K453">
        <v>16579</v>
      </c>
      <c r="L453" s="9"/>
    </row>
    <row r="454" spans="1:12" x14ac:dyDescent="0.2">
      <c r="A454" s="52"/>
      <c r="C454" s="5" t="s">
        <v>501</v>
      </c>
      <c r="D454" t="s">
        <v>489</v>
      </c>
      <c r="E454" t="s">
        <v>483</v>
      </c>
      <c r="F454">
        <v>250</v>
      </c>
      <c r="G454">
        <v>1065</v>
      </c>
      <c r="H454" s="8">
        <f t="shared" si="36"/>
        <v>3.0820657276995305</v>
      </c>
      <c r="I454" s="8">
        <f t="shared" si="37"/>
        <v>13.1296</v>
      </c>
      <c r="K454">
        <v>3282.4</v>
      </c>
      <c r="L454" s="9"/>
    </row>
    <row r="455" spans="1:12" x14ac:dyDescent="0.2">
      <c r="A455" s="52"/>
      <c r="C455" s="5" t="s">
        <v>501</v>
      </c>
      <c r="D455" t="s">
        <v>480</v>
      </c>
      <c r="E455" t="s">
        <v>483</v>
      </c>
      <c r="F455">
        <v>400</v>
      </c>
      <c r="G455">
        <v>1585</v>
      </c>
      <c r="H455" s="8">
        <f t="shared" si="36"/>
        <v>3.0809463722397479</v>
      </c>
      <c r="I455" s="8">
        <f t="shared" si="37"/>
        <v>12.20825</v>
      </c>
      <c r="K455">
        <v>4883.3</v>
      </c>
      <c r="L455" s="9"/>
    </row>
    <row r="456" spans="1:12" x14ac:dyDescent="0.2">
      <c r="A456" s="52"/>
      <c r="C456" s="5" t="s">
        <v>502</v>
      </c>
      <c r="D456" t="s">
        <v>503</v>
      </c>
      <c r="E456" t="s">
        <v>486</v>
      </c>
      <c r="F456">
        <v>800</v>
      </c>
      <c r="G456">
        <v>2435</v>
      </c>
      <c r="H456" s="8">
        <f t="shared" si="36"/>
        <v>4.1716632443531827</v>
      </c>
      <c r="I456" s="8">
        <f t="shared" si="37"/>
        <v>12.6975</v>
      </c>
      <c r="K456">
        <v>10158</v>
      </c>
      <c r="L456" s="9"/>
    </row>
    <row r="457" spans="1:12" x14ac:dyDescent="0.2">
      <c r="A457" s="52"/>
      <c r="C457" s="5" t="s">
        <v>502</v>
      </c>
      <c r="D457" t="s">
        <v>504</v>
      </c>
      <c r="E457" t="s">
        <v>486</v>
      </c>
      <c r="F457">
        <v>1000</v>
      </c>
      <c r="G457">
        <v>3343</v>
      </c>
      <c r="H457" s="8">
        <f t="shared" si="36"/>
        <v>3.846245886927909</v>
      </c>
      <c r="I457" s="8">
        <f t="shared" si="37"/>
        <v>12.858000000000001</v>
      </c>
      <c r="K457">
        <v>12858</v>
      </c>
      <c r="L457" s="9"/>
    </row>
    <row r="458" spans="1:12" x14ac:dyDescent="0.2">
      <c r="A458" s="52"/>
      <c r="C458" s="5" t="s">
        <v>502</v>
      </c>
      <c r="D458" t="s">
        <v>480</v>
      </c>
      <c r="E458" t="s">
        <v>486</v>
      </c>
      <c r="F458">
        <v>400</v>
      </c>
      <c r="G458">
        <v>1672</v>
      </c>
      <c r="H458" s="8">
        <f t="shared" si="36"/>
        <v>3.8690191387559807</v>
      </c>
      <c r="I458" s="8">
        <f t="shared" si="37"/>
        <v>16.172499999999999</v>
      </c>
      <c r="K458">
        <v>6469</v>
      </c>
      <c r="L458" s="9"/>
    </row>
    <row r="459" spans="1:12" x14ac:dyDescent="0.2">
      <c r="A459" s="52"/>
      <c r="C459" s="5" t="s">
        <v>502</v>
      </c>
      <c r="D459" t="s">
        <v>484</v>
      </c>
      <c r="E459" t="s">
        <v>486</v>
      </c>
      <c r="F459">
        <v>630</v>
      </c>
      <c r="G459">
        <v>2296</v>
      </c>
      <c r="H459" s="8">
        <f t="shared" si="36"/>
        <v>4.3410278745644595</v>
      </c>
      <c r="I459" s="8">
        <f t="shared" si="37"/>
        <v>15.820634920634921</v>
      </c>
      <c r="K459">
        <v>9967</v>
      </c>
      <c r="L459" s="9"/>
    </row>
    <row r="460" spans="1:12" x14ac:dyDescent="0.2">
      <c r="A460" s="52"/>
      <c r="C460" s="5" t="s">
        <v>502</v>
      </c>
      <c r="D460" t="s">
        <v>489</v>
      </c>
      <c r="E460" t="s">
        <v>486</v>
      </c>
      <c r="F460">
        <v>250</v>
      </c>
      <c r="G460">
        <v>1084</v>
      </c>
      <c r="H460" s="8">
        <f t="shared" si="36"/>
        <v>4.357472324723247</v>
      </c>
      <c r="I460" s="8">
        <f t="shared" si="37"/>
        <v>18.893999999999998</v>
      </c>
      <c r="K460">
        <v>4723.5</v>
      </c>
      <c r="L460" s="9"/>
    </row>
    <row r="461" spans="1:12" x14ac:dyDescent="0.2">
      <c r="A461" s="52"/>
      <c r="C461" s="5"/>
      <c r="H461" s="8"/>
      <c r="I461" s="8"/>
      <c r="L461" s="9"/>
    </row>
    <row r="462" spans="1:12" x14ac:dyDescent="0.2">
      <c r="A462" s="52"/>
      <c r="C462" s="5"/>
      <c r="H462" s="8"/>
      <c r="I462" s="8"/>
      <c r="L462" s="9"/>
    </row>
    <row r="463" spans="1:12" x14ac:dyDescent="0.2">
      <c r="A463" s="52"/>
      <c r="C463" s="5" t="s">
        <v>505</v>
      </c>
      <c r="D463" t="s">
        <v>506</v>
      </c>
      <c r="K463" s="8">
        <f>(K458+K455+K453+K442+K438+K436+K434)/7</f>
        <v>9289.6142857142859</v>
      </c>
      <c r="L463" s="9"/>
    </row>
    <row r="464" spans="1:12" x14ac:dyDescent="0.2">
      <c r="A464" s="52"/>
      <c r="C464" s="5"/>
      <c r="L464" s="9"/>
    </row>
    <row r="465" spans="1:12" x14ac:dyDescent="0.2">
      <c r="A465" s="52"/>
      <c r="C465" s="5"/>
      <c r="G465" s="40" t="s">
        <v>507</v>
      </c>
      <c r="H465" s="109">
        <f>AVERAGE(H434:H460)</f>
        <v>6.0442086533007355</v>
      </c>
      <c r="I465" s="109">
        <f>AVERAGE(I434:I460)</f>
        <v>31.365716725455609</v>
      </c>
      <c r="L465" s="9"/>
    </row>
    <row r="466" spans="1:12" x14ac:dyDescent="0.2">
      <c r="A466" s="52"/>
      <c r="C466" s="5"/>
      <c r="G466" s="40" t="s">
        <v>508</v>
      </c>
      <c r="H466" s="109">
        <f>AVERAGE(H434,H435,H436,H438,H442,H443,H449:H455,H458,H460)</f>
        <v>5.7294662521899786</v>
      </c>
      <c r="I466" s="109">
        <f>AVERAGE(I434,I435,I436,I438,I442,I443,I449:I455,I458,I460)</f>
        <v>38.327073333333338</v>
      </c>
      <c r="L466" s="9"/>
    </row>
    <row r="467" spans="1:12" x14ac:dyDescent="0.2">
      <c r="A467" s="52"/>
      <c r="C467" s="5"/>
      <c r="G467" s="40" t="s">
        <v>509</v>
      </c>
      <c r="H467" s="109">
        <f>AVERAGE(H437,H439:H441,H444:H448,H456,H457,H459)</f>
        <v>6.4376366546891859</v>
      </c>
      <c r="I467" s="109">
        <f>AVERAGE(I437,I439:I441,I444:I448,I456,I457,I459)</f>
        <v>22.664020965608461</v>
      </c>
      <c r="L467" s="9"/>
    </row>
    <row r="468" spans="1:12" x14ac:dyDescent="0.2">
      <c r="A468" s="52"/>
      <c r="C468" s="5"/>
      <c r="G468" s="110" t="s">
        <v>510</v>
      </c>
      <c r="H468" s="111">
        <f>AVERAGE(H449:H451)</f>
        <v>7.9777445679687338</v>
      </c>
      <c r="I468" s="111">
        <f>AVERAGE(I449:I451)</f>
        <v>92.575416666666669</v>
      </c>
      <c r="L468" s="9"/>
    </row>
    <row r="469" spans="1:12" x14ac:dyDescent="0.2">
      <c r="A469" s="52"/>
      <c r="C469" s="5"/>
      <c r="G469" s="110" t="s">
        <v>511</v>
      </c>
      <c r="H469" s="111">
        <f>AVERAGE(H434:H439,H441:H444,H452:H455,H458:H460)</f>
        <v>5.4230586880130067</v>
      </c>
      <c r="I469" s="111">
        <f>AVERAGE(I434:I439,I441:I444,I452:I455,I458:I460)</f>
        <v>24.19218538748833</v>
      </c>
      <c r="L469" s="9"/>
    </row>
    <row r="470" spans="1:12" x14ac:dyDescent="0.2">
      <c r="A470" s="52"/>
      <c r="C470" s="5"/>
      <c r="F470">
        <v>207</v>
      </c>
      <c r="G470" s="110" t="s">
        <v>512</v>
      </c>
      <c r="H470" s="111">
        <f>AVERAGE(H440,H445:H448,H456:H457)</f>
        <v>6.7240574627132288</v>
      </c>
      <c r="I470" s="111">
        <f>AVERAGE(I440,I445:I448,I456:I457)</f>
        <v>22.554421428571427</v>
      </c>
      <c r="L470" s="9"/>
    </row>
    <row r="471" spans="1:12" x14ac:dyDescent="0.2">
      <c r="A471" s="52"/>
      <c r="C471" s="5"/>
      <c r="G471" s="48"/>
      <c r="H471" s="54"/>
      <c r="I471" s="54"/>
      <c r="L471" s="9"/>
    </row>
    <row r="472" spans="1:12" x14ac:dyDescent="0.2">
      <c r="A472" s="52"/>
      <c r="C472" s="5"/>
      <c r="L472" s="9"/>
    </row>
    <row r="473" spans="1:12" x14ac:dyDescent="0.2">
      <c r="A473" s="52"/>
      <c r="C473" s="117" t="s">
        <v>513</v>
      </c>
      <c r="D473" s="47" t="s">
        <v>514</v>
      </c>
      <c r="E473" s="47" t="s">
        <v>451</v>
      </c>
      <c r="F473" s="47" t="s">
        <v>467</v>
      </c>
      <c r="G473" s="47"/>
      <c r="H473" s="100" t="s">
        <v>515</v>
      </c>
      <c r="I473" s="47"/>
      <c r="J473" s="100" t="s">
        <v>468</v>
      </c>
      <c r="L473" s="9"/>
    </row>
    <row r="474" spans="1:12" x14ac:dyDescent="0.2">
      <c r="A474" s="52"/>
      <c r="C474" s="5" t="s">
        <v>516</v>
      </c>
      <c r="E474">
        <v>340</v>
      </c>
      <c r="F474">
        <v>30</v>
      </c>
      <c r="H474" s="8">
        <v>6.0442086533007355</v>
      </c>
      <c r="J474" s="78">
        <f>E474*H474</f>
        <v>2055.0309421222501</v>
      </c>
      <c r="L474" s="9"/>
    </row>
    <row r="475" spans="1:12" x14ac:dyDescent="0.2">
      <c r="A475" s="52"/>
      <c r="C475" s="5" t="s">
        <v>517</v>
      </c>
      <c r="E475">
        <v>460</v>
      </c>
      <c r="F475">
        <v>50</v>
      </c>
      <c r="H475" s="8">
        <v>6.0442086533007355</v>
      </c>
      <c r="J475" s="78">
        <f t="shared" ref="J475" si="38">E475*H475</f>
        <v>2780.3359805183381</v>
      </c>
      <c r="L475" s="9"/>
    </row>
    <row r="476" spans="1:12" x14ac:dyDescent="0.2">
      <c r="A476" s="52"/>
      <c r="C476" s="5" t="s">
        <v>518</v>
      </c>
      <c r="E476">
        <v>690</v>
      </c>
      <c r="F476">
        <v>100</v>
      </c>
      <c r="H476" s="8">
        <v>6.0442086533007355</v>
      </c>
      <c r="J476" s="78">
        <f>E476*H476</f>
        <v>4170.5039707775077</v>
      </c>
      <c r="L476" s="9"/>
    </row>
    <row r="477" spans="1:12" x14ac:dyDescent="0.2">
      <c r="A477" s="52"/>
      <c r="C477" s="5"/>
      <c r="L477" s="9"/>
    </row>
    <row r="478" spans="1:12" x14ac:dyDescent="0.2">
      <c r="A478" s="52"/>
      <c r="C478" s="5"/>
      <c r="L478" s="9"/>
    </row>
    <row r="479" spans="1:12" x14ac:dyDescent="0.2">
      <c r="A479" s="52"/>
      <c r="C479" s="5" t="s">
        <v>519</v>
      </c>
      <c r="D479" t="s">
        <v>520</v>
      </c>
      <c r="E479">
        <v>2980</v>
      </c>
      <c r="F479">
        <v>1000</v>
      </c>
      <c r="H479" s="8">
        <v>6.0442086533007355</v>
      </c>
      <c r="J479" s="78">
        <f>E479*H479</f>
        <v>18011.741786836192</v>
      </c>
      <c r="L479" s="9"/>
    </row>
    <row r="480" spans="1:12" x14ac:dyDescent="0.2">
      <c r="A480" s="52"/>
      <c r="C480" s="36" t="s">
        <v>521</v>
      </c>
      <c r="D480" s="1" t="s">
        <v>522</v>
      </c>
      <c r="E480" s="1"/>
      <c r="F480" s="1"/>
      <c r="G480" s="1"/>
      <c r="H480" s="1"/>
      <c r="I480" s="1"/>
      <c r="J480" s="1"/>
      <c r="K480" s="1"/>
      <c r="L480" s="3"/>
    </row>
    <row r="481" spans="1:12" x14ac:dyDescent="0.2">
      <c r="A481" s="52"/>
    </row>
    <row r="482" spans="1:12" x14ac:dyDescent="0.2">
      <c r="A482" s="15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">
      <c r="A483" s="157" t="s">
        <v>605</v>
      </c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</row>
    <row r="484" spans="1:12" x14ac:dyDescent="0.2">
      <c r="A484" s="48"/>
      <c r="B484" t="s">
        <v>252</v>
      </c>
    </row>
    <row r="485" spans="1:12" x14ac:dyDescent="0.2">
      <c r="A485" s="48"/>
    </row>
    <row r="486" spans="1:12" x14ac:dyDescent="0.2">
      <c r="A486" s="48"/>
      <c r="C486" s="37" t="s">
        <v>457</v>
      </c>
      <c r="D486" s="39"/>
      <c r="E486" s="37" t="s">
        <v>315</v>
      </c>
      <c r="F486" s="60" t="s">
        <v>316</v>
      </c>
      <c r="G486" s="38" t="s">
        <v>317</v>
      </c>
      <c r="H486" s="61" t="s">
        <v>318</v>
      </c>
      <c r="I486" s="77" t="s">
        <v>319</v>
      </c>
    </row>
    <row r="487" spans="1:12" x14ac:dyDescent="0.2">
      <c r="A487" s="48"/>
      <c r="C487" s="5">
        <v>1</v>
      </c>
      <c r="D487" s="9" t="s">
        <v>33</v>
      </c>
      <c r="E487" s="5" t="s">
        <v>606</v>
      </c>
      <c r="F487">
        <v>24</v>
      </c>
      <c r="G487">
        <v>2.6</v>
      </c>
      <c r="H487" s="8">
        <f t="shared" ref="H487:H488" si="39">F487*G487</f>
        <v>62.400000000000006</v>
      </c>
      <c r="I487" s="155" t="s">
        <v>322</v>
      </c>
    </row>
    <row r="488" spans="1:12" x14ac:dyDescent="0.2">
      <c r="A488" s="48"/>
      <c r="C488" s="5">
        <v>1</v>
      </c>
      <c r="D488" s="9" t="s">
        <v>33</v>
      </c>
      <c r="E488" s="5" t="s">
        <v>609</v>
      </c>
      <c r="F488">
        <v>9.1999999999999993</v>
      </c>
      <c r="G488">
        <v>2.6</v>
      </c>
      <c r="H488" s="8">
        <f t="shared" si="39"/>
        <v>23.919999999999998</v>
      </c>
      <c r="I488" s="155" t="s">
        <v>322</v>
      </c>
    </row>
    <row r="489" spans="1:12" x14ac:dyDescent="0.2">
      <c r="A489" s="48"/>
      <c r="C489" s="36">
        <v>3</v>
      </c>
      <c r="D489" s="3" t="s">
        <v>33</v>
      </c>
      <c r="E489" s="36" t="s">
        <v>608</v>
      </c>
      <c r="F489" s="1">
        <v>3.8</v>
      </c>
      <c r="G489" s="1">
        <v>2.8029999999999999</v>
      </c>
      <c r="H489" s="58">
        <f t="shared" ref="H489" si="40">F489*G489</f>
        <v>10.651399999999999</v>
      </c>
      <c r="I489" s="15" t="s">
        <v>336</v>
      </c>
    </row>
    <row r="490" spans="1:12" x14ac:dyDescent="0.2">
      <c r="A490" s="48"/>
      <c r="D490" s="64" t="s">
        <v>191</v>
      </c>
      <c r="H490" s="57">
        <f>C487*H487+C488*H488+C489*H489</f>
        <v>118.27420000000001</v>
      </c>
    </row>
    <row r="491" spans="1:12" x14ac:dyDescent="0.2">
      <c r="A491" s="48"/>
    </row>
    <row r="492" spans="1:12" x14ac:dyDescent="0.2">
      <c r="A492" s="15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">
      <c r="A493" s="157" t="s">
        <v>604</v>
      </c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</row>
    <row r="494" spans="1:12" x14ac:dyDescent="0.2">
      <c r="A494" s="48"/>
      <c r="B494" t="s">
        <v>252</v>
      </c>
    </row>
    <row r="495" spans="1:12" x14ac:dyDescent="0.2">
      <c r="A495" s="48"/>
    </row>
    <row r="496" spans="1:12" x14ac:dyDescent="0.2">
      <c r="A496" s="48"/>
      <c r="C496" s="37" t="s">
        <v>457</v>
      </c>
      <c r="D496" s="39"/>
      <c r="E496" s="37" t="s">
        <v>315</v>
      </c>
      <c r="F496" s="60" t="s">
        <v>316</v>
      </c>
      <c r="G496" s="38" t="s">
        <v>317</v>
      </c>
      <c r="H496" s="61" t="s">
        <v>318</v>
      </c>
      <c r="I496" s="77" t="s">
        <v>319</v>
      </c>
    </row>
    <row r="497" spans="1:19" x14ac:dyDescent="0.2">
      <c r="A497" s="48"/>
      <c r="C497" s="5">
        <v>1</v>
      </c>
      <c r="D497" s="9" t="s">
        <v>33</v>
      </c>
      <c r="E497" s="5" t="s">
        <v>606</v>
      </c>
      <c r="F497">
        <v>24</v>
      </c>
      <c r="G497">
        <v>2.6</v>
      </c>
      <c r="H497" s="8">
        <f t="shared" ref="H497:H498" si="41">F497*G497</f>
        <v>62.400000000000006</v>
      </c>
      <c r="I497" s="155" t="s">
        <v>322</v>
      </c>
    </row>
    <row r="498" spans="1:19" x14ac:dyDescent="0.2">
      <c r="A498" s="48"/>
      <c r="C498" s="5">
        <v>1</v>
      </c>
      <c r="D498" s="9" t="s">
        <v>33</v>
      </c>
      <c r="E498" s="5" t="s">
        <v>610</v>
      </c>
      <c r="F498">
        <v>5.9</v>
      </c>
      <c r="G498">
        <v>2.6</v>
      </c>
      <c r="H498" s="8">
        <f t="shared" si="41"/>
        <v>15.340000000000002</v>
      </c>
      <c r="I498" s="155" t="s">
        <v>322</v>
      </c>
    </row>
    <row r="499" spans="1:19" x14ac:dyDescent="0.2">
      <c r="A499" s="48"/>
      <c r="C499" s="5">
        <v>3</v>
      </c>
      <c r="D499" s="9" t="s">
        <v>33</v>
      </c>
      <c r="E499" s="5" t="s">
        <v>608</v>
      </c>
      <c r="F499">
        <v>3.8</v>
      </c>
      <c r="G499">
        <v>2.8029999999999999</v>
      </c>
      <c r="H499" s="8">
        <f t="shared" ref="H499" si="42">F499*G499</f>
        <v>10.651399999999999</v>
      </c>
      <c r="I499" s="155" t="s">
        <v>336</v>
      </c>
    </row>
    <row r="500" spans="1:19" x14ac:dyDescent="0.2">
      <c r="A500" s="48"/>
      <c r="C500" s="36">
        <v>1</v>
      </c>
      <c r="D500" s="3" t="s">
        <v>33</v>
      </c>
      <c r="E500" s="36" t="s">
        <v>607</v>
      </c>
      <c r="F500" s="1">
        <v>22.312999999999999</v>
      </c>
      <c r="G500" s="1">
        <v>2.6</v>
      </c>
      <c r="H500" s="58">
        <f t="shared" ref="H500" si="43">F500*G500</f>
        <v>58.013799999999996</v>
      </c>
      <c r="I500" s="15" t="s">
        <v>322</v>
      </c>
    </row>
    <row r="501" spans="1:19" x14ac:dyDescent="0.2">
      <c r="A501" s="48"/>
      <c r="D501" s="64" t="s">
        <v>191</v>
      </c>
      <c r="H501" s="57">
        <f>C497*H497+C498*H498+C499*H499+C500*H500</f>
        <v>167.708</v>
      </c>
    </row>
    <row r="502" spans="1:19" x14ac:dyDescent="0.2">
      <c r="A502" s="48"/>
    </row>
    <row r="503" spans="1:19" x14ac:dyDescent="0.2">
      <c r="A503" s="15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9" x14ac:dyDescent="0.2">
      <c r="A504" s="162" t="s">
        <v>314</v>
      </c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</row>
    <row r="505" spans="1:19" x14ac:dyDescent="0.2">
      <c r="A505" s="54"/>
      <c r="B505" t="s">
        <v>432</v>
      </c>
    </row>
    <row r="506" spans="1:19" x14ac:dyDescent="0.2">
      <c r="A506" s="54"/>
      <c r="B506" t="s">
        <v>561</v>
      </c>
    </row>
    <row r="507" spans="1:19" x14ac:dyDescent="0.2">
      <c r="A507" s="54"/>
    </row>
    <row r="508" spans="1:19" x14ac:dyDescent="0.2">
      <c r="A508" s="54"/>
      <c r="C508" s="124"/>
      <c r="D508" s="125"/>
      <c r="E508" s="125"/>
      <c r="F508" s="125" t="s">
        <v>542</v>
      </c>
      <c r="G508" s="125"/>
      <c r="H508" s="125" t="s">
        <v>542</v>
      </c>
      <c r="I508" s="125"/>
      <c r="J508" s="125"/>
      <c r="K508" s="125" t="s">
        <v>542</v>
      </c>
      <c r="L508" s="125"/>
      <c r="M508" s="125"/>
      <c r="N508" s="125" t="s">
        <v>542</v>
      </c>
      <c r="O508" s="125"/>
      <c r="P508" s="125"/>
      <c r="Q508" s="125" t="s">
        <v>542</v>
      </c>
      <c r="R508" s="125"/>
      <c r="S508" s="126" t="s">
        <v>542</v>
      </c>
    </row>
    <row r="509" spans="1:19" x14ac:dyDescent="0.2">
      <c r="A509" s="54"/>
      <c r="C509" s="127"/>
      <c r="D509" s="128" t="s">
        <v>549</v>
      </c>
      <c r="E509" s="129" t="s">
        <v>386</v>
      </c>
      <c r="F509" s="129" t="s">
        <v>550</v>
      </c>
      <c r="G509" s="128" t="s">
        <v>551</v>
      </c>
      <c r="H509" s="129" t="s">
        <v>386</v>
      </c>
      <c r="I509" s="129" t="s">
        <v>550</v>
      </c>
      <c r="J509" s="128" t="s">
        <v>543</v>
      </c>
      <c r="K509" s="129" t="s">
        <v>386</v>
      </c>
      <c r="L509" s="129" t="s">
        <v>550</v>
      </c>
      <c r="M509" s="128" t="s">
        <v>544</v>
      </c>
      <c r="N509" s="129" t="s">
        <v>386</v>
      </c>
      <c r="O509" s="129" t="s">
        <v>9</v>
      </c>
      <c r="P509" s="128" t="s">
        <v>545</v>
      </c>
      <c r="Q509" s="129" t="s">
        <v>386</v>
      </c>
      <c r="R509" s="129" t="s">
        <v>9</v>
      </c>
      <c r="S509" s="130" t="s">
        <v>546</v>
      </c>
    </row>
    <row r="510" spans="1:19" x14ac:dyDescent="0.2">
      <c r="A510" s="54"/>
      <c r="C510" s="131" t="s">
        <v>547</v>
      </c>
      <c r="D510" s="132"/>
      <c r="E510" s="132">
        <v>6.0000000000000001E-3</v>
      </c>
      <c r="F510" s="132"/>
      <c r="G510" s="132"/>
      <c r="H510" s="132">
        <v>0.44</v>
      </c>
      <c r="I510" s="132"/>
      <c r="J510" s="133"/>
      <c r="K510" s="134">
        <f>2.46*1.58</f>
        <v>3.8868</v>
      </c>
      <c r="L510" s="133"/>
      <c r="M510" s="133"/>
      <c r="N510" s="132">
        <v>3.06</v>
      </c>
      <c r="O510" s="133"/>
      <c r="P510" s="133"/>
      <c r="Q510" s="134">
        <v>0.9</v>
      </c>
      <c r="R510" s="133"/>
      <c r="S510" s="135"/>
    </row>
    <row r="511" spans="1:19" x14ac:dyDescent="0.2">
      <c r="A511" s="54"/>
      <c r="C511" s="136" t="s">
        <v>552</v>
      </c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37"/>
    </row>
    <row r="512" spans="1:19" x14ac:dyDescent="0.2">
      <c r="A512" s="54"/>
      <c r="C512" s="127"/>
      <c r="D512" s="138">
        <v>19</v>
      </c>
      <c r="E512" s="122"/>
      <c r="F512" s="122">
        <f>D512*$E$510</f>
        <v>0.114</v>
      </c>
      <c r="G512" s="138">
        <v>32</v>
      </c>
      <c r="H512" s="122"/>
      <c r="I512" s="122">
        <f>G512*$H$510</f>
        <v>14.08</v>
      </c>
      <c r="J512" s="138"/>
      <c r="K512" s="122"/>
      <c r="L512" s="122">
        <f>J512*$K$510</f>
        <v>0</v>
      </c>
      <c r="M512" s="138"/>
      <c r="N512" s="122"/>
      <c r="O512" s="122">
        <f>M512*$N$510</f>
        <v>0</v>
      </c>
      <c r="P512" s="138"/>
      <c r="Q512" s="122"/>
      <c r="R512" s="139">
        <f>P512*$Q$510</f>
        <v>0</v>
      </c>
      <c r="S512" s="140">
        <f>F512+I512+L512+O512+R512</f>
        <v>14.194000000000001</v>
      </c>
    </row>
    <row r="513" spans="1:19" x14ac:dyDescent="0.2">
      <c r="A513" s="54"/>
      <c r="C513" s="136" t="s">
        <v>553</v>
      </c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39"/>
      <c r="S513" s="137"/>
    </row>
    <row r="514" spans="1:19" x14ac:dyDescent="0.2">
      <c r="A514" s="54"/>
      <c r="C514" s="127"/>
      <c r="D514" s="138">
        <v>14</v>
      </c>
      <c r="E514" s="122"/>
      <c r="F514" s="122">
        <f>D514*$E$510</f>
        <v>8.4000000000000005E-2</v>
      </c>
      <c r="G514" s="138">
        <v>42</v>
      </c>
      <c r="H514" s="122"/>
      <c r="I514" s="122">
        <f>G514*$H$510</f>
        <v>18.48</v>
      </c>
      <c r="J514" s="138"/>
      <c r="K514" s="122"/>
      <c r="L514" s="122">
        <f>J514*$K$510</f>
        <v>0</v>
      </c>
      <c r="M514" s="138"/>
      <c r="N514" s="122"/>
      <c r="O514" s="122">
        <f>M514*$N$510</f>
        <v>0</v>
      </c>
      <c r="P514" s="138"/>
      <c r="Q514" s="122"/>
      <c r="R514" s="139">
        <f>P514*$Q$510</f>
        <v>0</v>
      </c>
      <c r="S514" s="140">
        <f>F514+I514+L514+O514+R514</f>
        <v>18.564</v>
      </c>
    </row>
    <row r="515" spans="1:19" x14ac:dyDescent="0.2">
      <c r="A515" s="54"/>
      <c r="C515" s="136" t="s">
        <v>554</v>
      </c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39"/>
      <c r="S515" s="137"/>
    </row>
    <row r="516" spans="1:19" x14ac:dyDescent="0.2">
      <c r="A516" s="54"/>
      <c r="C516" s="127"/>
      <c r="D516" s="138">
        <v>22</v>
      </c>
      <c r="E516" s="122"/>
      <c r="F516" s="122">
        <f>D516*$E$510</f>
        <v>0.13200000000000001</v>
      </c>
      <c r="G516" s="138">
        <v>61</v>
      </c>
      <c r="H516" s="122"/>
      <c r="I516" s="122">
        <f>G516*$H$510</f>
        <v>26.84</v>
      </c>
      <c r="J516" s="138">
        <v>20</v>
      </c>
      <c r="K516" s="122"/>
      <c r="L516" s="122">
        <f>J516*$K$510</f>
        <v>77.736000000000004</v>
      </c>
      <c r="M516" s="138">
        <v>6</v>
      </c>
      <c r="N516" s="122"/>
      <c r="O516" s="122">
        <f>M516*$N$510</f>
        <v>18.36</v>
      </c>
      <c r="P516" s="138">
        <v>6</v>
      </c>
      <c r="Q516" s="122"/>
      <c r="R516" s="139">
        <f>P516*$Q$510</f>
        <v>5.4</v>
      </c>
      <c r="S516" s="140">
        <f>F516+I516+L516+O516+R516</f>
        <v>128.46799999999999</v>
      </c>
    </row>
    <row r="517" spans="1:19" x14ac:dyDescent="0.2">
      <c r="A517" s="54"/>
      <c r="C517" s="136" t="s">
        <v>555</v>
      </c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39"/>
      <c r="S517" s="137"/>
    </row>
    <row r="518" spans="1:19" x14ac:dyDescent="0.2">
      <c r="A518" s="54"/>
      <c r="C518" s="127"/>
      <c r="D518" s="138">
        <v>11</v>
      </c>
      <c r="E518" s="122"/>
      <c r="F518" s="122">
        <f>D518*$E$510</f>
        <v>6.6000000000000003E-2</v>
      </c>
      <c r="G518" s="138">
        <v>42</v>
      </c>
      <c r="H518" s="122"/>
      <c r="I518" s="122">
        <f>G518*$H$510</f>
        <v>18.48</v>
      </c>
      <c r="J518" s="138"/>
      <c r="K518" s="122"/>
      <c r="L518" s="122">
        <f>J518*$K$510</f>
        <v>0</v>
      </c>
      <c r="M518" s="138"/>
      <c r="N518" s="122"/>
      <c r="O518" s="122">
        <f>M518*$N$510</f>
        <v>0</v>
      </c>
      <c r="P518" s="138"/>
      <c r="Q518" s="122"/>
      <c r="R518" s="139">
        <f>P518*$Q$510</f>
        <v>0</v>
      </c>
      <c r="S518" s="140">
        <f>F518+I518+L518+O518+R518</f>
        <v>18.545999999999999</v>
      </c>
    </row>
    <row r="519" spans="1:19" x14ac:dyDescent="0.2">
      <c r="A519" s="54"/>
      <c r="C519" s="136" t="s">
        <v>556</v>
      </c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39"/>
      <c r="S519" s="137"/>
    </row>
    <row r="520" spans="1:19" x14ac:dyDescent="0.2">
      <c r="A520" s="54"/>
      <c r="C520" s="127"/>
      <c r="D520" s="138">
        <v>19</v>
      </c>
      <c r="E520" s="122"/>
      <c r="F520" s="122">
        <f>D520*$E$510</f>
        <v>0.114</v>
      </c>
      <c r="G520" s="138">
        <v>61</v>
      </c>
      <c r="H520" s="122"/>
      <c r="I520" s="122">
        <f>G520*$H$510</f>
        <v>26.84</v>
      </c>
      <c r="J520" s="138">
        <v>20</v>
      </c>
      <c r="K520" s="122"/>
      <c r="L520" s="122">
        <f>J520*$K$510</f>
        <v>77.736000000000004</v>
      </c>
      <c r="M520" s="138">
        <v>6</v>
      </c>
      <c r="N520" s="122"/>
      <c r="O520" s="122">
        <f>M520*$N$510</f>
        <v>18.36</v>
      </c>
      <c r="P520" s="138">
        <v>6</v>
      </c>
      <c r="Q520" s="122"/>
      <c r="R520" s="139">
        <f>P520*$Q$510</f>
        <v>5.4</v>
      </c>
      <c r="S520" s="140">
        <f>F520+I520+L520+O520+R520</f>
        <v>128.44999999999999</v>
      </c>
    </row>
    <row r="521" spans="1:19" x14ac:dyDescent="0.2">
      <c r="A521" s="54"/>
      <c r="C521" s="136" t="s">
        <v>557</v>
      </c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39"/>
      <c r="S521" s="137"/>
    </row>
    <row r="522" spans="1:19" x14ac:dyDescent="0.2">
      <c r="A522" s="54"/>
      <c r="C522" s="127"/>
      <c r="D522" s="138">
        <v>14</v>
      </c>
      <c r="E522" s="122"/>
      <c r="F522" s="122">
        <f>D522*$E$510</f>
        <v>8.4000000000000005E-2</v>
      </c>
      <c r="G522" s="138">
        <v>42</v>
      </c>
      <c r="H522" s="122"/>
      <c r="I522" s="122">
        <f>G522*$H$510</f>
        <v>18.48</v>
      </c>
      <c r="J522" s="138"/>
      <c r="K522" s="122"/>
      <c r="L522" s="122">
        <f>J522*$K$510</f>
        <v>0</v>
      </c>
      <c r="M522" s="138"/>
      <c r="N522" s="122"/>
      <c r="O522" s="122">
        <f>M522*$N$510</f>
        <v>0</v>
      </c>
      <c r="P522" s="138"/>
      <c r="Q522" s="122"/>
      <c r="R522" s="139">
        <f>P522*$Q$510</f>
        <v>0</v>
      </c>
      <c r="S522" s="140">
        <f>F522+I522+L522+O522+R522</f>
        <v>18.564</v>
      </c>
    </row>
    <row r="523" spans="1:19" x14ac:dyDescent="0.2">
      <c r="A523" s="54"/>
      <c r="C523" s="136" t="s">
        <v>558</v>
      </c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39"/>
      <c r="S523" s="137"/>
    </row>
    <row r="524" spans="1:19" x14ac:dyDescent="0.2">
      <c r="A524" s="54"/>
      <c r="C524" s="127"/>
      <c r="D524" s="138">
        <v>22</v>
      </c>
      <c r="E524" s="122"/>
      <c r="F524" s="122">
        <f>D524*$E$510</f>
        <v>0.13200000000000001</v>
      </c>
      <c r="G524" s="138">
        <v>61</v>
      </c>
      <c r="H524" s="122"/>
      <c r="I524" s="122">
        <f>G524*$H$510</f>
        <v>26.84</v>
      </c>
      <c r="J524" s="138">
        <v>20</v>
      </c>
      <c r="K524" s="122"/>
      <c r="L524" s="122">
        <f>J524*$K$510</f>
        <v>77.736000000000004</v>
      </c>
      <c r="M524" s="138">
        <v>6</v>
      </c>
      <c r="N524" s="122"/>
      <c r="O524" s="122">
        <f>M524*$N$510</f>
        <v>18.36</v>
      </c>
      <c r="P524" s="138">
        <v>6</v>
      </c>
      <c r="Q524" s="122"/>
      <c r="R524" s="139">
        <f>P524*$Q$510</f>
        <v>5.4</v>
      </c>
      <c r="S524" s="140">
        <f>F524+I524+L524+O524+R524</f>
        <v>128.46799999999999</v>
      </c>
    </row>
    <row r="525" spans="1:19" x14ac:dyDescent="0.2">
      <c r="A525" s="54"/>
      <c r="C525" s="136" t="s">
        <v>559</v>
      </c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39"/>
      <c r="S525" s="137"/>
    </row>
    <row r="526" spans="1:19" x14ac:dyDescent="0.2">
      <c r="A526" s="54"/>
      <c r="C526" s="127"/>
      <c r="D526" s="138">
        <v>11</v>
      </c>
      <c r="E526" s="122"/>
      <c r="F526" s="122">
        <f>D526*$E$510</f>
        <v>6.6000000000000003E-2</v>
      </c>
      <c r="G526" s="138">
        <v>42</v>
      </c>
      <c r="H526" s="122"/>
      <c r="I526" s="122">
        <f>G526*$H$510</f>
        <v>18.48</v>
      </c>
      <c r="J526" s="138"/>
      <c r="K526" s="122"/>
      <c r="L526" s="122">
        <f>J526*$K$510</f>
        <v>0</v>
      </c>
      <c r="M526" s="138"/>
      <c r="N526" s="122"/>
      <c r="O526" s="122">
        <f>M526*$N$510</f>
        <v>0</v>
      </c>
      <c r="P526" s="138"/>
      <c r="Q526" s="122"/>
      <c r="R526" s="139">
        <f>P526*$Q$510</f>
        <v>0</v>
      </c>
      <c r="S526" s="140">
        <f>F526+I526+L526+O526+R526</f>
        <v>18.545999999999999</v>
      </c>
    </row>
    <row r="527" spans="1:19" x14ac:dyDescent="0.2">
      <c r="A527" s="54"/>
      <c r="C527" s="136" t="s">
        <v>560</v>
      </c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39"/>
      <c r="S527" s="137"/>
    </row>
    <row r="528" spans="1:19" x14ac:dyDescent="0.2">
      <c r="A528" s="54"/>
      <c r="C528" s="141"/>
      <c r="D528" s="142">
        <v>19</v>
      </c>
      <c r="E528" s="123"/>
      <c r="F528" s="123">
        <f>D528*$E$510</f>
        <v>0.114</v>
      </c>
      <c r="G528" s="142">
        <v>61</v>
      </c>
      <c r="H528" s="123"/>
      <c r="I528" s="123">
        <f>G528*$H$510</f>
        <v>26.84</v>
      </c>
      <c r="J528" s="142">
        <v>20</v>
      </c>
      <c r="K528" s="123"/>
      <c r="L528" s="123">
        <f>J528*$K$510</f>
        <v>77.736000000000004</v>
      </c>
      <c r="M528" s="142">
        <v>6</v>
      </c>
      <c r="N528" s="123"/>
      <c r="O528" s="123">
        <f>M528*$N$510</f>
        <v>18.36</v>
      </c>
      <c r="P528" s="142">
        <v>6</v>
      </c>
      <c r="Q528" s="123"/>
      <c r="R528" s="143">
        <f>P528*$Q$510</f>
        <v>5.4</v>
      </c>
      <c r="S528" s="144">
        <f>F528+I528+L528+O528+R528</f>
        <v>128.44999999999999</v>
      </c>
    </row>
    <row r="529" spans="1:19" x14ac:dyDescent="0.2">
      <c r="A529" s="54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4"/>
      <c r="Q529" s="125"/>
      <c r="R529" s="125"/>
      <c r="S529" s="126"/>
    </row>
    <row r="530" spans="1:19" x14ac:dyDescent="0.2">
      <c r="A530" s="54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41" t="s">
        <v>548</v>
      </c>
      <c r="Q530" s="123"/>
      <c r="R530" s="123"/>
      <c r="S530" s="57">
        <f>AVERAGE(S512,S514,S516,S518,S520,S522,S524,S526,S528)</f>
        <v>66.916666666666671</v>
      </c>
    </row>
    <row r="531" spans="1:19" x14ac:dyDescent="0.2">
      <c r="A531" s="54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</row>
    <row r="532" spans="1:19" x14ac:dyDescent="0.2">
      <c r="A532" s="15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22"/>
      <c r="N532" s="122"/>
      <c r="O532" s="122"/>
    </row>
    <row r="533" spans="1:19" x14ac:dyDescent="0.2">
      <c r="A533" s="161" t="s">
        <v>309</v>
      </c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</row>
    <row r="534" spans="1:19" x14ac:dyDescent="0.2">
      <c r="A534" s="53"/>
      <c r="B534" t="s">
        <v>28</v>
      </c>
    </row>
    <row r="535" spans="1:19" x14ac:dyDescent="0.2">
      <c r="A535" s="53"/>
      <c r="B535" t="s">
        <v>252</v>
      </c>
    </row>
    <row r="536" spans="1:19" x14ac:dyDescent="0.2">
      <c r="A536" s="53"/>
    </row>
    <row r="537" spans="1:19" x14ac:dyDescent="0.2">
      <c r="A537" s="53"/>
      <c r="C537" s="37" t="s">
        <v>457</v>
      </c>
      <c r="D537" s="39"/>
      <c r="E537" s="37"/>
      <c r="F537" s="60" t="s">
        <v>451</v>
      </c>
      <c r="G537" s="60" t="s">
        <v>452</v>
      </c>
      <c r="H537" s="38"/>
      <c r="I537" s="38"/>
      <c r="J537" s="39"/>
    </row>
    <row r="538" spans="1:19" x14ac:dyDescent="0.2">
      <c r="A538" s="53"/>
      <c r="C538" s="5">
        <v>25</v>
      </c>
      <c r="D538" s="9" t="s">
        <v>331</v>
      </c>
      <c r="E538" s="5" t="s">
        <v>571</v>
      </c>
      <c r="H538" s="8">
        <f>25/16*0.59</f>
        <v>0.921875</v>
      </c>
      <c r="I538" t="s">
        <v>445</v>
      </c>
      <c r="J538" s="9"/>
    </row>
    <row r="539" spans="1:19" x14ac:dyDescent="0.2">
      <c r="A539" s="53"/>
      <c r="C539" s="5">
        <v>7</v>
      </c>
      <c r="D539" s="9" t="s">
        <v>33</v>
      </c>
      <c r="E539" s="5" t="s">
        <v>453</v>
      </c>
      <c r="F539">
        <v>1.7999999999999999E-2</v>
      </c>
      <c r="G539">
        <v>4.2</v>
      </c>
      <c r="H539" s="8">
        <f>F539*G539</f>
        <v>7.5600000000000001E-2</v>
      </c>
      <c r="I539" t="s">
        <v>454</v>
      </c>
      <c r="J539" s="9"/>
    </row>
    <row r="540" spans="1:19" x14ac:dyDescent="0.2">
      <c r="A540" s="53"/>
      <c r="C540" s="36">
        <v>1</v>
      </c>
      <c r="D540" s="3" t="s">
        <v>33</v>
      </c>
      <c r="E540" s="36" t="s">
        <v>565</v>
      </c>
      <c r="F540" s="1">
        <v>0.3</v>
      </c>
      <c r="G540" s="1">
        <v>2.41</v>
      </c>
      <c r="H540" s="58">
        <f>F540*G540</f>
        <v>0.72299999999999998</v>
      </c>
      <c r="I540" s="1" t="s">
        <v>454</v>
      </c>
      <c r="J540" s="3"/>
    </row>
    <row r="541" spans="1:19" x14ac:dyDescent="0.2">
      <c r="A541" s="53"/>
      <c r="D541" s="64" t="s">
        <v>191</v>
      </c>
      <c r="H541" s="57">
        <f>C538*H538+C539*H539+C540*H540</f>
        <v>24.299074999999998</v>
      </c>
    </row>
    <row r="542" spans="1:19" x14ac:dyDescent="0.2">
      <c r="A542" s="53"/>
    </row>
    <row r="543" spans="1:19" x14ac:dyDescent="0.2">
      <c r="A543" s="15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9" x14ac:dyDescent="0.2">
      <c r="A544" s="161" t="s">
        <v>563</v>
      </c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</row>
    <row r="545" spans="1:12" x14ac:dyDescent="0.2">
      <c r="A545" s="53"/>
      <c r="B545" t="s">
        <v>570</v>
      </c>
    </row>
    <row r="546" spans="1:12" x14ac:dyDescent="0.2">
      <c r="A546" s="53"/>
      <c r="B546" t="s">
        <v>252</v>
      </c>
    </row>
    <row r="547" spans="1:12" x14ac:dyDescent="0.2">
      <c r="A547" s="53"/>
    </row>
    <row r="548" spans="1:12" x14ac:dyDescent="0.2">
      <c r="A548" s="53"/>
      <c r="C548" s="37" t="s">
        <v>457</v>
      </c>
      <c r="D548" s="39"/>
      <c r="E548" s="37"/>
      <c r="F548" s="60" t="s">
        <v>451</v>
      </c>
      <c r="G548" s="60" t="s">
        <v>566</v>
      </c>
      <c r="H548" s="38"/>
      <c r="I548" s="38"/>
      <c r="J548" s="39"/>
    </row>
    <row r="549" spans="1:12" x14ac:dyDescent="0.2">
      <c r="A549" s="53"/>
      <c r="C549" s="5">
        <v>25</v>
      </c>
      <c r="D549" s="9" t="s">
        <v>331</v>
      </c>
      <c r="E549" s="5" t="s">
        <v>564</v>
      </c>
      <c r="H549" s="8">
        <v>0.59</v>
      </c>
      <c r="I549" t="s">
        <v>445</v>
      </c>
      <c r="J549" s="9"/>
    </row>
    <row r="550" spans="1:12" x14ac:dyDescent="0.2">
      <c r="A550" s="53"/>
      <c r="C550" s="5">
        <v>6</v>
      </c>
      <c r="D550" s="9" t="s">
        <v>33</v>
      </c>
      <c r="E550" s="145" t="s">
        <v>569</v>
      </c>
      <c r="F550">
        <v>1.4999999999999999E-2</v>
      </c>
      <c r="G550">
        <v>3.97</v>
      </c>
      <c r="H550" s="8">
        <f>3.97*F550</f>
        <v>5.9549999999999999E-2</v>
      </c>
      <c r="I550" t="s">
        <v>445</v>
      </c>
      <c r="J550" s="9"/>
    </row>
    <row r="551" spans="1:12" x14ac:dyDescent="0.2">
      <c r="A551" s="53"/>
      <c r="C551" s="5">
        <v>1</v>
      </c>
      <c r="D551" s="9" t="s">
        <v>33</v>
      </c>
      <c r="E551" s="5" t="s">
        <v>565</v>
      </c>
      <c r="F551">
        <v>0.3</v>
      </c>
      <c r="G551">
        <v>2.41</v>
      </c>
      <c r="H551" s="8">
        <f>F551*G551</f>
        <v>0.72299999999999998</v>
      </c>
      <c r="I551" t="s">
        <v>454</v>
      </c>
      <c r="J551" s="9"/>
    </row>
    <row r="552" spans="1:12" x14ac:dyDescent="0.2">
      <c r="A552" s="53"/>
      <c r="C552" s="5">
        <v>15</v>
      </c>
      <c r="D552" s="9" t="s">
        <v>33</v>
      </c>
      <c r="E552" s="5" t="s">
        <v>567</v>
      </c>
      <c r="F552">
        <v>3.0000000000000001E-3</v>
      </c>
      <c r="G552">
        <v>2.6</v>
      </c>
      <c r="H552" s="8">
        <f>F552*G552</f>
        <v>7.8000000000000005E-3</v>
      </c>
      <c r="I552" t="s">
        <v>454</v>
      </c>
      <c r="J552" s="9"/>
    </row>
    <row r="553" spans="1:12" x14ac:dyDescent="0.2">
      <c r="A553" s="53"/>
      <c r="C553" s="36">
        <v>1</v>
      </c>
      <c r="D553" s="3" t="s">
        <v>33</v>
      </c>
      <c r="E553" s="36" t="s">
        <v>568</v>
      </c>
      <c r="F553" s="1">
        <v>0.13700000000000001</v>
      </c>
      <c r="G553" s="58">
        <v>9.1080000000000005</v>
      </c>
      <c r="H553" s="58">
        <f>F553*G553</f>
        <v>1.2477960000000001</v>
      </c>
      <c r="I553" s="1" t="s">
        <v>454</v>
      </c>
      <c r="J553" s="3"/>
    </row>
    <row r="554" spans="1:12" x14ac:dyDescent="0.2">
      <c r="A554" s="53"/>
      <c r="D554" s="64" t="s">
        <v>191</v>
      </c>
      <c r="E554" s="70"/>
      <c r="H554" s="57">
        <f>C549*H549+C550*H550+C551*H551+C552*H552+C553*H553</f>
        <v>17.195096000000003</v>
      </c>
    </row>
    <row r="555" spans="1:12" x14ac:dyDescent="0.2">
      <c r="A555" s="53"/>
      <c r="E555" s="70"/>
    </row>
    <row r="556" spans="1:12" x14ac:dyDescent="0.2">
      <c r="A556" s="15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">
      <c r="A557" s="165" t="s">
        <v>310</v>
      </c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</row>
    <row r="558" spans="1:12" x14ac:dyDescent="0.2">
      <c r="A558" s="52"/>
      <c r="B558" t="s">
        <v>252</v>
      </c>
    </row>
    <row r="559" spans="1:12" x14ac:dyDescent="0.2">
      <c r="A559" s="52"/>
      <c r="B559" t="s">
        <v>588</v>
      </c>
    </row>
    <row r="560" spans="1:12" x14ac:dyDescent="0.2">
      <c r="A560" s="52"/>
      <c r="B560" t="s">
        <v>587</v>
      </c>
    </row>
    <row r="561" spans="1:7" x14ac:dyDescent="0.2">
      <c r="A561" s="52"/>
      <c r="B561" t="s">
        <v>883</v>
      </c>
    </row>
    <row r="562" spans="1:7" x14ac:dyDescent="0.2">
      <c r="A562" s="52"/>
    </row>
    <row r="563" spans="1:7" x14ac:dyDescent="0.2">
      <c r="A563" s="52"/>
      <c r="C563" s="147" t="s">
        <v>311</v>
      </c>
      <c r="D563" s="33" t="s">
        <v>572</v>
      </c>
      <c r="E563" s="33" t="s">
        <v>573</v>
      </c>
      <c r="F563" s="33" t="s">
        <v>574</v>
      </c>
      <c r="G563" s="146" t="s">
        <v>575</v>
      </c>
    </row>
    <row r="564" spans="1:7" x14ac:dyDescent="0.2">
      <c r="A564" s="52"/>
      <c r="C564" s="5" t="s">
        <v>576</v>
      </c>
      <c r="D564">
        <v>200</v>
      </c>
      <c r="E564">
        <v>120</v>
      </c>
      <c r="F564">
        <f>D564-E564</f>
        <v>80</v>
      </c>
      <c r="G564" s="10">
        <f>$D$576*E564+$D$574*F564</f>
        <v>1395.5417702101554</v>
      </c>
    </row>
    <row r="565" spans="1:7" x14ac:dyDescent="0.2">
      <c r="A565" s="52"/>
      <c r="C565" s="5" t="s">
        <v>577</v>
      </c>
      <c r="D565">
        <v>270</v>
      </c>
      <c r="E565">
        <v>180</v>
      </c>
      <c r="F565">
        <f>D565-E565</f>
        <v>90</v>
      </c>
      <c r="G565" s="10">
        <f>$D$576*E565+$D$574*F565</f>
        <v>2005.612655315233</v>
      </c>
    </row>
    <row r="566" spans="1:7" x14ac:dyDescent="0.2">
      <c r="A566" s="52"/>
      <c r="C566" s="5" t="s">
        <v>578</v>
      </c>
      <c r="D566">
        <v>350</v>
      </c>
      <c r="E566">
        <v>245</v>
      </c>
      <c r="F566">
        <f>D566-E566</f>
        <v>105</v>
      </c>
      <c r="G566" s="10">
        <f>$D$576*E566+$D$574*F566</f>
        <v>2678.7033364012891</v>
      </c>
    </row>
    <row r="567" spans="1:7" x14ac:dyDescent="0.2">
      <c r="A567" s="52"/>
      <c r="C567" s="5" t="s">
        <v>579</v>
      </c>
      <c r="D567">
        <v>425</v>
      </c>
      <c r="E567">
        <v>310</v>
      </c>
      <c r="F567">
        <f>D567-E567</f>
        <v>115</v>
      </c>
      <c r="G567" s="10">
        <f>$D$576*E567+$D$574*F567</f>
        <v>3337.1773508206788</v>
      </c>
    </row>
    <row r="568" spans="1:7" x14ac:dyDescent="0.2">
      <c r="A568" s="52"/>
      <c r="C568" s="36" t="s">
        <v>580</v>
      </c>
      <c r="D568" s="1">
        <v>510</v>
      </c>
      <c r="E568" s="1">
        <v>385</v>
      </c>
      <c r="F568" s="3">
        <f>D568-E568</f>
        <v>125</v>
      </c>
      <c r="G568" s="10">
        <f>$D$576*E568+$D$574*F568</f>
        <v>4092.4576238686923</v>
      </c>
    </row>
    <row r="569" spans="1:7" x14ac:dyDescent="0.2">
      <c r="A569" s="52"/>
      <c r="C569" s="5"/>
      <c r="G569" s="9"/>
    </row>
    <row r="570" spans="1:7" x14ac:dyDescent="0.2">
      <c r="A570" s="52"/>
      <c r="C570" s="5" t="s">
        <v>581</v>
      </c>
      <c r="D570" s="8"/>
      <c r="G570" s="9"/>
    </row>
    <row r="571" spans="1:7" x14ac:dyDescent="0.2">
      <c r="A571" s="52"/>
      <c r="C571" s="5" t="s">
        <v>582</v>
      </c>
      <c r="D571" s="8">
        <v>3.3</v>
      </c>
      <c r="E571" t="s">
        <v>583</v>
      </c>
      <c r="G571" s="9"/>
    </row>
    <row r="572" spans="1:7" x14ac:dyDescent="0.2">
      <c r="A572" s="52"/>
      <c r="C572" s="5" t="s">
        <v>584</v>
      </c>
      <c r="D572" s="8">
        <v>2.71</v>
      </c>
      <c r="E572" t="s">
        <v>583</v>
      </c>
      <c r="G572" s="9"/>
    </row>
    <row r="573" spans="1:7" x14ac:dyDescent="0.2">
      <c r="A573" s="52"/>
      <c r="C573" s="5" t="s">
        <v>585</v>
      </c>
      <c r="D573" s="8">
        <v>2.76</v>
      </c>
      <c r="E573" t="s">
        <v>583</v>
      </c>
      <c r="G573" s="9"/>
    </row>
    <row r="574" spans="1:7" x14ac:dyDescent="0.2">
      <c r="A574" s="52"/>
      <c r="C574" s="5" t="s">
        <v>214</v>
      </c>
      <c r="D574" s="65">
        <f>AVERAGE(D571:D573)</f>
        <v>2.9233333333333333</v>
      </c>
      <c r="E574" t="s">
        <v>583</v>
      </c>
      <c r="G574" s="9"/>
    </row>
    <row r="575" spans="1:7" x14ac:dyDescent="0.2">
      <c r="A575" s="52"/>
      <c r="C575" s="5"/>
      <c r="G575" s="9"/>
    </row>
    <row r="576" spans="1:7" x14ac:dyDescent="0.2">
      <c r="A576" s="52"/>
      <c r="C576" s="36" t="s">
        <v>586</v>
      </c>
      <c r="D576" s="65">
        <f>F13</f>
        <v>9.6806258628624047</v>
      </c>
      <c r="E576" s="1" t="s">
        <v>583</v>
      </c>
      <c r="F576" s="1"/>
      <c r="G576" s="3"/>
    </row>
    <row r="577" spans="1:12" x14ac:dyDescent="0.2">
      <c r="A577" s="52"/>
    </row>
    <row r="578" spans="1:12" x14ac:dyDescent="0.2">
      <c r="A578" s="15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">
      <c r="A579" s="157" t="s">
        <v>313</v>
      </c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</row>
    <row r="580" spans="1:12" x14ac:dyDescent="0.2">
      <c r="B580" t="s">
        <v>589</v>
      </c>
    </row>
    <row r="581" spans="1:12" x14ac:dyDescent="0.2">
      <c r="B581" t="s">
        <v>597</v>
      </c>
      <c r="K581" s="70" t="s">
        <v>590</v>
      </c>
      <c r="L581" s="49" t="s">
        <v>591</v>
      </c>
    </row>
    <row r="582" spans="1:12" x14ac:dyDescent="0.2">
      <c r="B582" t="s">
        <v>602</v>
      </c>
    </row>
    <row r="584" spans="1:12" x14ac:dyDescent="0.2">
      <c r="C584" s="32"/>
      <c r="D584" s="33"/>
      <c r="E584" s="33" t="s">
        <v>595</v>
      </c>
      <c r="F584" s="33" t="s">
        <v>593</v>
      </c>
      <c r="G584" s="33"/>
      <c r="H584" s="34"/>
      <c r="I584" s="32" t="s">
        <v>593</v>
      </c>
      <c r="J584" s="34" t="s">
        <v>601</v>
      </c>
    </row>
    <row r="585" spans="1:12" x14ac:dyDescent="0.2">
      <c r="C585" s="5"/>
      <c r="E585" t="s">
        <v>594</v>
      </c>
      <c r="F585" t="s">
        <v>594</v>
      </c>
      <c r="G585" t="s">
        <v>596</v>
      </c>
      <c r="H585" s="9"/>
      <c r="I585" s="5" t="s">
        <v>600</v>
      </c>
      <c r="J585" s="9"/>
    </row>
    <row r="586" spans="1:12" x14ac:dyDescent="0.2">
      <c r="C586" s="148" t="s">
        <v>592</v>
      </c>
      <c r="E586">
        <v>2552</v>
      </c>
      <c r="F586">
        <v>2226</v>
      </c>
      <c r="G586">
        <f>E586-F586</f>
        <v>326</v>
      </c>
      <c r="H586" s="9"/>
      <c r="I586" s="5">
        <v>12068</v>
      </c>
      <c r="J586" s="152">
        <f>I586+$G$590</f>
        <v>12371.333333333334</v>
      </c>
    </row>
    <row r="587" spans="1:12" x14ac:dyDescent="0.2">
      <c r="C587" s="148" t="s">
        <v>102</v>
      </c>
      <c r="E587">
        <v>2882</v>
      </c>
      <c r="F587">
        <v>2598</v>
      </c>
      <c r="G587">
        <f t="shared" ref="G587:G588" si="44">E587-F587</f>
        <v>284</v>
      </c>
      <c r="H587" s="9"/>
      <c r="I587" s="5">
        <v>14446</v>
      </c>
      <c r="J587" s="153">
        <f t="shared" ref="J587:J588" si="45">I587+$G$590</f>
        <v>14749.333333333334</v>
      </c>
    </row>
    <row r="588" spans="1:12" x14ac:dyDescent="0.2">
      <c r="C588" s="148" t="s">
        <v>104</v>
      </c>
      <c r="E588">
        <v>3568</v>
      </c>
      <c r="F588">
        <v>3268</v>
      </c>
      <c r="G588">
        <f t="shared" si="44"/>
        <v>300</v>
      </c>
      <c r="H588" s="9"/>
      <c r="I588" s="5">
        <v>18729</v>
      </c>
      <c r="J588" s="154">
        <f t="shared" si="45"/>
        <v>19032.333333333332</v>
      </c>
    </row>
    <row r="589" spans="1:12" x14ac:dyDescent="0.2">
      <c r="C589" s="149" t="s">
        <v>598</v>
      </c>
      <c r="D589" s="1"/>
      <c r="E589" s="1"/>
      <c r="F589" s="1"/>
      <c r="G589" s="107">
        <f>AVERAGE(G586:G588)</f>
        <v>303.33333333333331</v>
      </c>
      <c r="H589" s="3"/>
      <c r="I589" s="5"/>
      <c r="J589" s="9"/>
    </row>
    <row r="590" spans="1:12" x14ac:dyDescent="0.2">
      <c r="C590" s="150" t="s">
        <v>599</v>
      </c>
      <c r="D590" s="38"/>
      <c r="E590" s="38"/>
      <c r="F590" s="38"/>
      <c r="G590" s="151">
        <f>1*G589</f>
        <v>303.33333333333331</v>
      </c>
      <c r="H590" s="39" t="s">
        <v>583</v>
      </c>
      <c r="I590" s="37"/>
      <c r="J590" s="39"/>
    </row>
    <row r="597" spans="4:4" x14ac:dyDescent="0.2">
      <c r="D597" s="49"/>
    </row>
  </sheetData>
  <sortState xmlns:xlrd2="http://schemas.microsoft.com/office/spreadsheetml/2017/richdata2" ref="A3:A579">
    <sortCondition ref="A3:A579"/>
  </sortState>
  <hyperlinks>
    <hyperlink ref="H48" r:id="rId1" xr:uid="{B388988A-A515-496E-A569-838EAFF38AD6}"/>
    <hyperlink ref="G338" r:id="rId2" xr:uid="{1188B4C6-FB98-49E7-B6F1-390DB7A38C24}"/>
    <hyperlink ref="G339" r:id="rId3" xr:uid="{9C50313E-808B-4DBE-ABF4-B927E7B7B179}"/>
    <hyperlink ref="K332" r:id="rId4" xr:uid="{62614A25-9D76-458A-9495-DE42A7DC55D6}"/>
    <hyperlink ref="K309" r:id="rId5" xr:uid="{143D357C-2D7D-4129-8876-2D38DA9E9590}"/>
    <hyperlink ref="K325" r:id="rId6" xr:uid="{141FADED-669A-46FC-9EC3-F12413FB7364}"/>
    <hyperlink ref="L581" r:id="rId7" xr:uid="{5169276F-B900-4F65-9AF8-2DF3088B1452}"/>
    <hyperlink ref="L290" r:id="rId8" xr:uid="{C867EB48-9590-4C5B-A4FE-C146D2DB1523}"/>
    <hyperlink ref="G211" r:id="rId9" xr:uid="{3EFEF5BF-228C-4CBE-A805-AED04A040532}"/>
    <hyperlink ref="C214" r:id="rId10" xr:uid="{F1983E42-2FEE-4B30-904D-1611DC0F3AB4}"/>
  </hyperlinks>
  <pageMargins left="0.7" right="0.7" top="0.75" bottom="0.75" header="0.3" footer="0.3"/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6479898A1D03458CD3B7CC25770111" ma:contentTypeVersion="4" ma:contentTypeDescription="Luo uusi asiakirja." ma:contentTypeScope="" ma:versionID="7f0c810aedb301b2ba37738b60f33348">
  <xsd:schema xmlns:xsd="http://www.w3.org/2001/XMLSchema" xmlns:xs="http://www.w3.org/2001/XMLSchema" xmlns:p="http://schemas.microsoft.com/office/2006/metadata/properties" xmlns:ns2="62e44361-c73d-4237-a781-2985e4a167e3" targetNamespace="http://schemas.microsoft.com/office/2006/metadata/properties" ma:root="true" ma:fieldsID="369f4f86bcfbe4510e15418aa69b1e66" ns2:_="">
    <xsd:import namespace="62e44361-c73d-4237-a781-2985e4a167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44361-c73d-4237-a781-2985e4a167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B6A25-945B-434A-B67E-E68DD397D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44361-c73d-4237-a781-2985e4a16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0C3EEE-A73E-4921-A312-E342F33722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64F13-9BA6-4323-832C-192F62951C49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2e44361-c73d-4237-a781-2985e4a167e3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Lähtöarvot</vt:lpstr>
      <vt:lpstr>Yhtiökohtaiset arvot</vt:lpstr>
      <vt:lpstr>Määrät</vt:lpstr>
      <vt:lpstr>Tulos</vt:lpstr>
      <vt:lpstr>Arvioinnit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Juha Jokinen</dc:creator>
  <cp:keywords/>
  <dc:description/>
  <cp:lastModifiedBy>Isabella Anderson</cp:lastModifiedBy>
  <cp:revision/>
  <dcterms:created xsi:type="dcterms:W3CDTF">2025-03-17T12:14:08Z</dcterms:created>
  <dcterms:modified xsi:type="dcterms:W3CDTF">2025-05-26T12:18:03Z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0x0101002B6479898A1D03458CD3B7CC25770111</vt:lpwstr>
  </property>
</Properties>
</file>